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D:\QUY HOACH, KE HOACH SDD\2. DC QH 2021-2030\1.BDDC QHSDD DEN NAM 2030 H.VAN LANG\"/>
    </mc:Choice>
  </mc:AlternateContent>
  <xr:revisionPtr revIDLastSave="0" documentId="13_ncr:1_{BA0DB5C6-A191-4674-96AE-42FB38EE0C46}" xr6:coauthVersionLast="36" xr6:coauthVersionMax="47" xr10:uidLastSave="{00000000-0000-0000-0000-000000000000}"/>
  <bookViews>
    <workbookView xWindow="-105" yWindow="-105" windowWidth="23250" windowHeight="12450" xr2:uid="{00000000-000D-0000-FFFF-FFFF00000000}"/>
  </bookViews>
  <sheets>
    <sheet name="Danh muc_2912_in_" sheetId="1" r:id="rId1"/>
  </sheets>
  <definedNames>
    <definedName name="_xlnm._FilterDatabase" localSheetId="0" hidden="1">'Danh muc_2912_in_'!$A$5:$BM$542</definedName>
    <definedName name="_xlnm.Print_Area" localSheetId="0">'Danh muc_2912_in_'!$A$1:$BM$542</definedName>
    <definedName name="_xlnm.Print_Titles" localSheetId="0">'Danh muc_2912_in_'!$5:$6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0" i="1" l="1"/>
  <c r="H120" i="1"/>
  <c r="I120" i="1"/>
  <c r="K120" i="1"/>
  <c r="L120" i="1"/>
  <c r="U120" i="1"/>
  <c r="V120" i="1"/>
  <c r="W120" i="1"/>
  <c r="X120" i="1"/>
  <c r="Y120" i="1"/>
  <c r="AG120" i="1"/>
  <c r="E120" i="1" l="1"/>
  <c r="E192" i="1" l="1"/>
  <c r="F315" i="1" l="1"/>
  <c r="U468" i="1" l="1"/>
  <c r="A337" i="1" l="1"/>
  <c r="G210" i="1" l="1"/>
  <c r="V153" i="1" l="1"/>
  <c r="G255" i="1"/>
  <c r="G254" i="1"/>
  <c r="G253" i="1"/>
  <c r="G252" i="1"/>
  <c r="G251" i="1"/>
  <c r="G250" i="1"/>
  <c r="G249" i="1"/>
  <c r="G248" i="1"/>
  <c r="G247" i="1"/>
  <c r="G245" i="1"/>
  <c r="G246" i="1"/>
  <c r="L122" i="1"/>
  <c r="H119" i="1"/>
  <c r="AT120" i="1"/>
  <c r="BG120" i="1"/>
  <c r="U122" i="1"/>
  <c r="G122" i="1"/>
  <c r="G66" i="1"/>
  <c r="E66" i="1" s="1"/>
  <c r="A9" i="1"/>
  <c r="A10" i="1"/>
  <c r="A11" i="1" s="1"/>
  <c r="A12" i="1" s="1"/>
  <c r="A13" i="1" s="1"/>
  <c r="A14" i="1" s="1"/>
  <c r="A15" i="1" s="1"/>
  <c r="A16" i="1" s="1"/>
  <c r="A17" i="1" s="1"/>
  <c r="A18" i="1" s="1"/>
  <c r="A20" i="1" s="1"/>
  <c r="A21" i="1" s="1"/>
  <c r="A22" i="1" s="1"/>
  <c r="A23" i="1" s="1"/>
  <c r="A24" i="1" s="1"/>
  <c r="A25" i="1" s="1"/>
  <c r="A26" i="1" s="1"/>
  <c r="A27" i="1" s="1"/>
  <c r="A28" i="1" s="1"/>
  <c r="A29" i="1" s="1"/>
  <c r="A30" i="1" s="1"/>
  <c r="A31" i="1" s="1"/>
  <c r="A32" i="1" s="1"/>
  <c r="A33" i="1" s="1"/>
  <c r="A34" i="1" s="1"/>
  <c r="A35" i="1" s="1"/>
  <c r="A36" i="1" s="1"/>
  <c r="A37" i="1" s="1"/>
  <c r="A39" i="1" s="1"/>
  <c r="A40" i="1" s="1"/>
  <c r="A42" i="1" s="1"/>
  <c r="A48" i="1" s="1"/>
  <c r="A53" i="1" s="1"/>
  <c r="A58" i="1" s="1"/>
  <c r="A59" i="1" s="1"/>
  <c r="A60" i="1" s="1"/>
  <c r="A61" i="1" s="1"/>
  <c r="A62" i="1" s="1"/>
  <c r="A63" i="1" s="1"/>
  <c r="A68" i="1" s="1"/>
  <c r="A74" i="1" s="1"/>
  <c r="A75" i="1" s="1"/>
  <c r="A76" i="1" s="1"/>
  <c r="A77" i="1" s="1"/>
  <c r="A78" i="1" s="1"/>
  <c r="A79" i="1" s="1"/>
  <c r="A80" i="1" s="1"/>
  <c r="A81" i="1" s="1"/>
  <c r="A82" i="1" s="1"/>
  <c r="A97" i="1" s="1"/>
  <c r="A99" i="1" s="1"/>
  <c r="A100" i="1" s="1"/>
  <c r="A101" i="1" s="1"/>
  <c r="A102" i="1" s="1"/>
  <c r="A103" i="1" s="1"/>
  <c r="A104" i="1" s="1"/>
  <c r="A105" i="1" s="1"/>
  <c r="A106" i="1" s="1"/>
  <c r="A107" i="1" s="1"/>
  <c r="A120" i="1" s="1"/>
  <c r="A121" i="1" s="1"/>
  <c r="A122" i="1" s="1"/>
  <c r="A124" i="1" s="1"/>
  <c r="A126" i="1" s="1"/>
  <c r="A130" i="1" s="1"/>
  <c r="A131" i="1" s="1"/>
  <c r="A132" i="1" s="1"/>
  <c r="A133" i="1" s="1"/>
  <c r="A134" i="1" s="1"/>
  <c r="A135" i="1" s="1"/>
  <c r="A136" i="1" s="1"/>
  <c r="A137" i="1" s="1"/>
  <c r="A138" i="1" s="1"/>
  <c r="A140" i="1" s="1"/>
  <c r="A141" i="1" s="1"/>
  <c r="A142" i="1" s="1"/>
  <c r="A143" i="1" s="1"/>
  <c r="A147" i="1" s="1"/>
  <c r="A148" i="1" s="1"/>
  <c r="A151" i="1" s="1"/>
  <c r="A149" i="1" s="1"/>
  <c r="A152" i="1" s="1"/>
  <c r="A153" i="1" s="1"/>
  <c r="A155" i="1" s="1"/>
  <c r="A156" i="1" s="1"/>
  <c r="A157" i="1" s="1"/>
  <c r="A158" i="1" s="1"/>
  <c r="K142" i="1"/>
  <c r="U142" i="1"/>
  <c r="G142" i="1"/>
  <c r="K126" i="1"/>
  <c r="L124" i="1"/>
  <c r="W121" i="1"/>
  <c r="V121" i="1"/>
  <c r="V124" i="1"/>
  <c r="K121" i="1"/>
  <c r="V75" i="1"/>
  <c r="L75" i="1"/>
  <c r="W140" i="1"/>
  <c r="K140" i="1"/>
  <c r="V146" i="1"/>
  <c r="K146" i="1"/>
  <c r="I121" i="1"/>
  <c r="V58" i="1"/>
  <c r="I58" i="1"/>
  <c r="H394" i="1"/>
  <c r="K378" i="1"/>
  <c r="AF379" i="1"/>
  <c r="AF378" i="1"/>
  <c r="BG398" i="1"/>
  <c r="V398" i="1"/>
  <c r="U398" i="1" s="1"/>
  <c r="BG396" i="1"/>
  <c r="BG394" i="1" s="1"/>
  <c r="V396" i="1"/>
  <c r="V394" i="1" s="1"/>
  <c r="I394" i="1"/>
  <c r="J394" i="1"/>
  <c r="K394" i="1"/>
  <c r="L394" i="1"/>
  <c r="M394" i="1"/>
  <c r="N394" i="1"/>
  <c r="O394" i="1"/>
  <c r="P394" i="1"/>
  <c r="Q394" i="1"/>
  <c r="R394" i="1"/>
  <c r="S394" i="1"/>
  <c r="T394" i="1"/>
  <c r="W394" i="1"/>
  <c r="X394" i="1"/>
  <c r="Y394" i="1"/>
  <c r="Z394" i="1"/>
  <c r="AA394" i="1"/>
  <c r="AB394" i="1"/>
  <c r="AC394" i="1"/>
  <c r="AD394" i="1"/>
  <c r="AE394" i="1"/>
  <c r="AF394" i="1"/>
  <c r="AG394" i="1"/>
  <c r="AH394" i="1"/>
  <c r="AI394" i="1"/>
  <c r="AJ394" i="1"/>
  <c r="AK394" i="1"/>
  <c r="AL394" i="1"/>
  <c r="AM394" i="1"/>
  <c r="AN394" i="1"/>
  <c r="AO394" i="1"/>
  <c r="AP394" i="1"/>
  <c r="AQ394" i="1"/>
  <c r="AR394" i="1"/>
  <c r="AS394" i="1"/>
  <c r="AT394" i="1"/>
  <c r="AU394" i="1"/>
  <c r="AV394" i="1"/>
  <c r="AW394" i="1"/>
  <c r="AX394" i="1"/>
  <c r="AY394" i="1"/>
  <c r="AZ394" i="1"/>
  <c r="BA394" i="1"/>
  <c r="BB394" i="1"/>
  <c r="BC394" i="1"/>
  <c r="BD394" i="1"/>
  <c r="BE394" i="1"/>
  <c r="BF394" i="1"/>
  <c r="V310" i="1"/>
  <c r="BG310" i="1"/>
  <c r="BG121" i="1"/>
  <c r="K70" i="1"/>
  <c r="K71" i="1"/>
  <c r="BG70" i="1"/>
  <c r="K69" i="1"/>
  <c r="BG69" i="1"/>
  <c r="V112" i="1"/>
  <c r="V110" i="1"/>
  <c r="V117" i="1"/>
  <c r="BD121" i="1"/>
  <c r="V258" i="1"/>
  <c r="U258" i="1" s="1"/>
  <c r="G258" i="1" s="1"/>
  <c r="V76" i="1"/>
  <c r="V467" i="1"/>
  <c r="V452" i="1"/>
  <c r="V471" i="1"/>
  <c r="W141" i="1"/>
  <c r="V289" i="1"/>
  <c r="V181" i="1"/>
  <c r="V160" i="1"/>
  <c r="U451" i="1"/>
  <c r="I412" i="1"/>
  <c r="J412" i="1"/>
  <c r="K412" i="1"/>
  <c r="L412" i="1"/>
  <c r="M412" i="1"/>
  <c r="N412" i="1"/>
  <c r="O412" i="1"/>
  <c r="P412" i="1"/>
  <c r="Q412" i="1"/>
  <c r="R412" i="1"/>
  <c r="S412" i="1"/>
  <c r="T412" i="1"/>
  <c r="V412" i="1"/>
  <c r="W412" i="1"/>
  <c r="X412" i="1"/>
  <c r="Y412" i="1"/>
  <c r="Z412" i="1"/>
  <c r="AA412" i="1"/>
  <c r="AB412" i="1"/>
  <c r="AC412" i="1"/>
  <c r="AD412" i="1"/>
  <c r="AE412" i="1"/>
  <c r="AF412" i="1"/>
  <c r="AG412" i="1"/>
  <c r="AH412" i="1"/>
  <c r="AI412" i="1"/>
  <c r="AJ412" i="1"/>
  <c r="AK412" i="1"/>
  <c r="AL412" i="1"/>
  <c r="AM412" i="1"/>
  <c r="AN412" i="1"/>
  <c r="AO412" i="1"/>
  <c r="AP412" i="1"/>
  <c r="AQ412" i="1"/>
  <c r="AR412" i="1"/>
  <c r="AS412" i="1"/>
  <c r="AT412" i="1"/>
  <c r="AU412" i="1"/>
  <c r="AV412" i="1"/>
  <c r="AW412" i="1"/>
  <c r="AX412" i="1"/>
  <c r="AY412" i="1"/>
  <c r="AZ412" i="1"/>
  <c r="BA412" i="1"/>
  <c r="BB412" i="1"/>
  <c r="BC412" i="1"/>
  <c r="BD412" i="1"/>
  <c r="BE412" i="1"/>
  <c r="BG412" i="1"/>
  <c r="H412" i="1"/>
  <c r="U499" i="1"/>
  <c r="K435" i="1"/>
  <c r="U429" i="1"/>
  <c r="W421" i="1"/>
  <c r="K424" i="1"/>
  <c r="I421" i="1"/>
  <c r="J421" i="1"/>
  <c r="L421" i="1"/>
  <c r="M421" i="1"/>
  <c r="N421" i="1"/>
  <c r="O421" i="1"/>
  <c r="P421" i="1"/>
  <c r="Q421" i="1"/>
  <c r="R421" i="1"/>
  <c r="S421" i="1"/>
  <c r="T421" i="1"/>
  <c r="V421" i="1"/>
  <c r="X421" i="1"/>
  <c r="Y421" i="1"/>
  <c r="Z421" i="1"/>
  <c r="AA421" i="1"/>
  <c r="AB421" i="1"/>
  <c r="AC421" i="1"/>
  <c r="AD421" i="1"/>
  <c r="AE421" i="1"/>
  <c r="AF421" i="1"/>
  <c r="AG421" i="1"/>
  <c r="AH421" i="1"/>
  <c r="AI421" i="1"/>
  <c r="AJ421" i="1"/>
  <c r="AK421" i="1"/>
  <c r="AL421" i="1"/>
  <c r="AM421" i="1"/>
  <c r="AN421" i="1"/>
  <c r="AO421" i="1"/>
  <c r="AP421" i="1"/>
  <c r="AQ421" i="1"/>
  <c r="AR421" i="1"/>
  <c r="AS421" i="1"/>
  <c r="AT421" i="1"/>
  <c r="AU421" i="1"/>
  <c r="AV421" i="1"/>
  <c r="AW421" i="1"/>
  <c r="AX421" i="1"/>
  <c r="AY421" i="1"/>
  <c r="AZ421" i="1"/>
  <c r="BA421" i="1"/>
  <c r="BB421" i="1"/>
  <c r="BC421" i="1"/>
  <c r="BD421" i="1"/>
  <c r="BE421" i="1"/>
  <c r="BF421" i="1"/>
  <c r="BG421" i="1"/>
  <c r="H421" i="1"/>
  <c r="V417" i="1"/>
  <c r="U416" i="1"/>
  <c r="U415" i="1"/>
  <c r="U414" i="1"/>
  <c r="V413" i="1"/>
  <c r="U410" i="1"/>
  <c r="G410" i="1" s="1"/>
  <c r="E410" i="1" s="1"/>
  <c r="I386" i="1"/>
  <c r="J386" i="1"/>
  <c r="L386" i="1"/>
  <c r="M386" i="1"/>
  <c r="N386" i="1"/>
  <c r="O386" i="1"/>
  <c r="P386" i="1"/>
  <c r="Q386" i="1"/>
  <c r="G386" i="1" s="1"/>
  <c r="R386" i="1"/>
  <c r="S386" i="1"/>
  <c r="T386" i="1"/>
  <c r="U386" i="1"/>
  <c r="V386" i="1"/>
  <c r="W386" i="1"/>
  <c r="X386" i="1"/>
  <c r="Y386" i="1"/>
  <c r="Z386" i="1"/>
  <c r="AA386" i="1"/>
  <c r="AB386" i="1"/>
  <c r="AC386" i="1"/>
  <c r="AD386" i="1"/>
  <c r="AE386" i="1"/>
  <c r="AF386" i="1"/>
  <c r="AG386" i="1"/>
  <c r="AH386" i="1"/>
  <c r="AI386" i="1"/>
  <c r="AJ386" i="1"/>
  <c r="AK386" i="1"/>
  <c r="AL386" i="1"/>
  <c r="AM386" i="1"/>
  <c r="AN386" i="1"/>
  <c r="AO386" i="1"/>
  <c r="AP386" i="1"/>
  <c r="AQ386" i="1"/>
  <c r="AR386" i="1"/>
  <c r="AS386" i="1"/>
  <c r="AT386" i="1"/>
  <c r="AU386" i="1"/>
  <c r="AV386" i="1"/>
  <c r="AW386" i="1"/>
  <c r="AX386" i="1"/>
  <c r="AY386" i="1"/>
  <c r="AZ386" i="1"/>
  <c r="BA386" i="1"/>
  <c r="BB386" i="1"/>
  <c r="BC386" i="1"/>
  <c r="BD386" i="1"/>
  <c r="BE386" i="1"/>
  <c r="BF386" i="1"/>
  <c r="BG386" i="1"/>
  <c r="H386" i="1"/>
  <c r="K389" i="1"/>
  <c r="K386" i="1"/>
  <c r="J377" i="1"/>
  <c r="M377" i="1"/>
  <c r="N377" i="1"/>
  <c r="O377" i="1"/>
  <c r="P377" i="1"/>
  <c r="Q377" i="1"/>
  <c r="R377" i="1"/>
  <c r="S377" i="1"/>
  <c r="T377" i="1"/>
  <c r="U377" i="1"/>
  <c r="V377" i="1"/>
  <c r="W377" i="1"/>
  <c r="X377" i="1"/>
  <c r="Y377" i="1"/>
  <c r="Z377" i="1"/>
  <c r="AA377" i="1"/>
  <c r="AB377" i="1"/>
  <c r="AC377" i="1"/>
  <c r="AD377" i="1"/>
  <c r="AE377" i="1"/>
  <c r="AF377" i="1"/>
  <c r="AG377" i="1"/>
  <c r="AH377" i="1"/>
  <c r="AI377" i="1"/>
  <c r="AJ377" i="1"/>
  <c r="AK377" i="1"/>
  <c r="AL377" i="1"/>
  <c r="AM377" i="1"/>
  <c r="AN377" i="1"/>
  <c r="AO377" i="1"/>
  <c r="AP377" i="1"/>
  <c r="AQ377" i="1"/>
  <c r="AR377" i="1"/>
  <c r="AS377" i="1"/>
  <c r="AT377" i="1"/>
  <c r="AU377" i="1"/>
  <c r="AV377" i="1"/>
  <c r="AW377" i="1"/>
  <c r="AX377" i="1"/>
  <c r="AY377" i="1"/>
  <c r="AZ377" i="1"/>
  <c r="BA377" i="1"/>
  <c r="BB377" i="1"/>
  <c r="BC377" i="1"/>
  <c r="BD377" i="1"/>
  <c r="BE377" i="1"/>
  <c r="BF377" i="1"/>
  <c r="BG377" i="1"/>
  <c r="H379" i="1"/>
  <c r="I379" i="1"/>
  <c r="K377" i="1"/>
  <c r="H378" i="1"/>
  <c r="V372" i="1"/>
  <c r="K364" i="1"/>
  <c r="V321" i="1"/>
  <c r="U319" i="1"/>
  <c r="G389" i="1"/>
  <c r="G411" i="1"/>
  <c r="E411" i="1"/>
  <c r="W323" i="1"/>
  <c r="V216" i="1"/>
  <c r="F140" i="1"/>
  <c r="U82" i="1"/>
  <c r="K82" i="1"/>
  <c r="H68" i="1"/>
  <c r="AF9" i="1"/>
  <c r="V9" i="1"/>
  <c r="AT289" i="1"/>
  <c r="U289" i="1"/>
  <c r="L289" i="1"/>
  <c r="K289" i="1"/>
  <c r="U288" i="1"/>
  <c r="U287" i="1"/>
  <c r="U286" i="1"/>
  <c r="U285" i="1"/>
  <c r="U284" i="1"/>
  <c r="V283" i="1"/>
  <c r="U283" i="1" s="1"/>
  <c r="L283" i="1"/>
  <c r="K283" i="1"/>
  <c r="H283" i="1"/>
  <c r="U282" i="1"/>
  <c r="U281" i="1"/>
  <c r="U280" i="1"/>
  <c r="U279" i="1"/>
  <c r="U278" i="1"/>
  <c r="U277" i="1"/>
  <c r="M277" i="1"/>
  <c r="U276" i="1"/>
  <c r="M276" i="1"/>
  <c r="U275" i="1"/>
  <c r="Q275" i="1"/>
  <c r="M275" i="1"/>
  <c r="U274" i="1"/>
  <c r="M274" i="1"/>
  <c r="U273" i="1"/>
  <c r="M273" i="1"/>
  <c r="U272" i="1"/>
  <c r="Q272" i="1"/>
  <c r="M272" i="1"/>
  <c r="U271" i="1"/>
  <c r="U268" i="1"/>
  <c r="U267" i="1"/>
  <c r="U266" i="1"/>
  <c r="M265" i="1"/>
  <c r="U264" i="1"/>
  <c r="M264" i="1"/>
  <c r="U263" i="1"/>
  <c r="M263" i="1"/>
  <c r="U262" i="1"/>
  <c r="Q262" i="1"/>
  <c r="M262" i="1"/>
  <c r="U261" i="1"/>
  <c r="M261" i="1"/>
  <c r="U260" i="1"/>
  <c r="M260" i="1"/>
  <c r="V259" i="1"/>
  <c r="U259" i="1"/>
  <c r="U57" i="1"/>
  <c r="G57" i="1"/>
  <c r="E57" i="1"/>
  <c r="G152" i="1"/>
  <c r="E152" i="1" s="1"/>
  <c r="F154" i="1"/>
  <c r="BG541" i="1"/>
  <c r="BF541" i="1"/>
  <c r="BE541" i="1"/>
  <c r="BD541" i="1"/>
  <c r="BC541" i="1"/>
  <c r="BB541" i="1"/>
  <c r="BA541" i="1"/>
  <c r="AZ541" i="1"/>
  <c r="AY541" i="1"/>
  <c r="AX541" i="1"/>
  <c r="AW541" i="1"/>
  <c r="AV541" i="1"/>
  <c r="AU541" i="1"/>
  <c r="AT541" i="1"/>
  <c r="AS541" i="1"/>
  <c r="AR541" i="1"/>
  <c r="AQ541" i="1"/>
  <c r="AP541" i="1"/>
  <c r="AO541" i="1"/>
  <c r="AN541" i="1"/>
  <c r="AM541" i="1"/>
  <c r="AL541" i="1"/>
  <c r="AK541" i="1"/>
  <c r="AJ541" i="1"/>
  <c r="AI541" i="1"/>
  <c r="AH541" i="1"/>
  <c r="AG541" i="1"/>
  <c r="AF541" i="1"/>
  <c r="AE541" i="1"/>
  <c r="AD541" i="1"/>
  <c r="AC541" i="1"/>
  <c r="AB541" i="1"/>
  <c r="AA541" i="1"/>
  <c r="Z541" i="1"/>
  <c r="Y541" i="1"/>
  <c r="X541" i="1"/>
  <c r="W541" i="1"/>
  <c r="V541" i="1"/>
  <c r="U541" i="1"/>
  <c r="T541" i="1"/>
  <c r="S541" i="1"/>
  <c r="R541" i="1"/>
  <c r="Q541" i="1"/>
  <c r="P541" i="1"/>
  <c r="O541" i="1"/>
  <c r="N541" i="1"/>
  <c r="M541" i="1"/>
  <c r="L541" i="1"/>
  <c r="K541" i="1"/>
  <c r="J541" i="1"/>
  <c r="I541" i="1"/>
  <c r="H541" i="1"/>
  <c r="G541" i="1"/>
  <c r="F541" i="1"/>
  <c r="E541" i="1"/>
  <c r="G153" i="1"/>
  <c r="E153" i="1" s="1"/>
  <c r="E540" i="1"/>
  <c r="U539" i="1"/>
  <c r="G539"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T538" i="1"/>
  <c r="S538" i="1"/>
  <c r="R538" i="1"/>
  <c r="Q538" i="1"/>
  <c r="P538" i="1"/>
  <c r="O538" i="1"/>
  <c r="N538" i="1"/>
  <c r="L538" i="1"/>
  <c r="K538" i="1"/>
  <c r="J538" i="1"/>
  <c r="I538" i="1"/>
  <c r="H538" i="1"/>
  <c r="F538" i="1"/>
  <c r="U537" i="1"/>
  <c r="U536" i="1"/>
  <c r="U535" i="1"/>
  <c r="U534" i="1"/>
  <c r="G534" i="1"/>
  <c r="E534" i="1"/>
  <c r="U533" i="1"/>
  <c r="U532" i="1"/>
  <c r="G532" i="1"/>
  <c r="E532" i="1" s="1"/>
  <c r="U531" i="1"/>
  <c r="U530" i="1"/>
  <c r="G530" i="1"/>
  <c r="E530" i="1"/>
  <c r="U529" i="1"/>
  <c r="U528" i="1"/>
  <c r="G528" i="1"/>
  <c r="E528" i="1" s="1"/>
  <c r="U527" i="1"/>
  <c r="U526" i="1"/>
  <c r="G526" i="1"/>
  <c r="E526" i="1"/>
  <c r="U525" i="1"/>
  <c r="U524" i="1"/>
  <c r="G524" i="1"/>
  <c r="E524" i="1" s="1"/>
  <c r="U523" i="1"/>
  <c r="G523"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T522" i="1"/>
  <c r="S522" i="1"/>
  <c r="R522" i="1"/>
  <c r="Q522" i="1"/>
  <c r="P522" i="1"/>
  <c r="O522" i="1"/>
  <c r="N522" i="1"/>
  <c r="M522" i="1"/>
  <c r="L522" i="1"/>
  <c r="K522" i="1"/>
  <c r="J522" i="1"/>
  <c r="I522" i="1"/>
  <c r="H522" i="1"/>
  <c r="F522" i="1"/>
  <c r="G521" i="1"/>
  <c r="E521" i="1" s="1"/>
  <c r="I520" i="1"/>
  <c r="G520" i="1"/>
  <c r="G519" i="1"/>
  <c r="E519" i="1"/>
  <c r="G518" i="1"/>
  <c r="E518" i="1" s="1"/>
  <c r="G517" i="1"/>
  <c r="E517" i="1" s="1"/>
  <c r="BG516" i="1"/>
  <c r="BF516" i="1"/>
  <c r="BE516" i="1"/>
  <c r="BD516" i="1"/>
  <c r="BC516" i="1"/>
  <c r="BB516" i="1"/>
  <c r="BA516" i="1"/>
  <c r="AZ516" i="1"/>
  <c r="AY516" i="1"/>
  <c r="AX516" i="1"/>
  <c r="AW516" i="1"/>
  <c r="AV516" i="1"/>
  <c r="AU516" i="1"/>
  <c r="AT516" i="1"/>
  <c r="AS516" i="1"/>
  <c r="AR516" i="1"/>
  <c r="AQ516" i="1"/>
  <c r="AP516" i="1"/>
  <c r="AO516" i="1"/>
  <c r="AN516" i="1"/>
  <c r="AM516" i="1"/>
  <c r="AL516" i="1"/>
  <c r="AK516" i="1"/>
  <c r="AJ516" i="1"/>
  <c r="AI516" i="1"/>
  <c r="AH516" i="1"/>
  <c r="AG516" i="1"/>
  <c r="AF516" i="1"/>
  <c r="AE516" i="1"/>
  <c r="AD516" i="1"/>
  <c r="AC516" i="1"/>
  <c r="AB516" i="1"/>
  <c r="AA516" i="1"/>
  <c r="Z516" i="1"/>
  <c r="Y516" i="1"/>
  <c r="X516" i="1"/>
  <c r="W516" i="1"/>
  <c r="V516" i="1"/>
  <c r="U516" i="1"/>
  <c r="T516" i="1"/>
  <c r="S516" i="1"/>
  <c r="R516" i="1"/>
  <c r="Q516" i="1"/>
  <c r="P516" i="1"/>
  <c r="O516" i="1"/>
  <c r="N516" i="1"/>
  <c r="M516" i="1"/>
  <c r="L516" i="1"/>
  <c r="K516" i="1"/>
  <c r="J516" i="1"/>
  <c r="H516" i="1"/>
  <c r="U515" i="1"/>
  <c r="U514" i="1" s="1"/>
  <c r="BG514" i="1"/>
  <c r="BF514" i="1"/>
  <c r="BE514" i="1"/>
  <c r="BD514" i="1"/>
  <c r="BC514" i="1"/>
  <c r="BB514" i="1"/>
  <c r="BA514" i="1"/>
  <c r="AZ514" i="1"/>
  <c r="AY514" i="1"/>
  <c r="AX514" i="1"/>
  <c r="AW514" i="1"/>
  <c r="AV514" i="1"/>
  <c r="AU514" i="1"/>
  <c r="AT514" i="1"/>
  <c r="AS514" i="1"/>
  <c r="AR514" i="1"/>
  <c r="AQ514" i="1"/>
  <c r="AP514" i="1"/>
  <c r="AO514" i="1"/>
  <c r="AN514" i="1"/>
  <c r="AM514" i="1"/>
  <c r="AL514" i="1"/>
  <c r="AK514" i="1"/>
  <c r="AJ514" i="1"/>
  <c r="AI514" i="1"/>
  <c r="AH514" i="1"/>
  <c r="AG514" i="1"/>
  <c r="AF514" i="1"/>
  <c r="AE514" i="1"/>
  <c r="AD514" i="1"/>
  <c r="AC514" i="1"/>
  <c r="AB514" i="1"/>
  <c r="AA514" i="1"/>
  <c r="Z514" i="1"/>
  <c r="Y514" i="1"/>
  <c r="X514" i="1"/>
  <c r="W514" i="1"/>
  <c r="V514" i="1"/>
  <c r="T514" i="1"/>
  <c r="S514" i="1"/>
  <c r="R514" i="1"/>
  <c r="Q514" i="1"/>
  <c r="P514" i="1"/>
  <c r="O514" i="1"/>
  <c r="N514" i="1"/>
  <c r="M514" i="1"/>
  <c r="L514" i="1"/>
  <c r="K514" i="1"/>
  <c r="J514" i="1"/>
  <c r="I514" i="1"/>
  <c r="H514" i="1"/>
  <c r="G513" i="1"/>
  <c r="E513" i="1" s="1"/>
  <c r="U512" i="1"/>
  <c r="U511" i="1"/>
  <c r="BG511" i="1"/>
  <c r="BF511" i="1"/>
  <c r="BE511" i="1"/>
  <c r="BD511" i="1"/>
  <c r="BC511" i="1"/>
  <c r="BB511" i="1"/>
  <c r="BA511" i="1"/>
  <c r="AZ511" i="1"/>
  <c r="AY511" i="1"/>
  <c r="AX511" i="1"/>
  <c r="AW511" i="1"/>
  <c r="AV511" i="1"/>
  <c r="AU511" i="1"/>
  <c r="AT511" i="1"/>
  <c r="AS511" i="1"/>
  <c r="AR511" i="1"/>
  <c r="AQ511" i="1"/>
  <c r="AP511" i="1"/>
  <c r="AO511" i="1"/>
  <c r="AN511" i="1"/>
  <c r="AM511" i="1"/>
  <c r="AL511" i="1"/>
  <c r="AK511" i="1"/>
  <c r="AJ511" i="1"/>
  <c r="AI511" i="1"/>
  <c r="AH511" i="1"/>
  <c r="AG511" i="1"/>
  <c r="AF511" i="1"/>
  <c r="AE511" i="1"/>
  <c r="AD511" i="1"/>
  <c r="AC511" i="1"/>
  <c r="AB511" i="1"/>
  <c r="AA511" i="1"/>
  <c r="Z511" i="1"/>
  <c r="Y511" i="1"/>
  <c r="X511" i="1"/>
  <c r="W511" i="1"/>
  <c r="V511" i="1"/>
  <c r="T511" i="1"/>
  <c r="S511" i="1"/>
  <c r="R511" i="1"/>
  <c r="Q511" i="1"/>
  <c r="P511" i="1"/>
  <c r="O511" i="1"/>
  <c r="N511" i="1"/>
  <c r="M511" i="1"/>
  <c r="L511" i="1"/>
  <c r="K511" i="1"/>
  <c r="J511" i="1"/>
  <c r="I511" i="1"/>
  <c r="H511" i="1"/>
  <c r="F511" i="1"/>
  <c r="G510" i="1"/>
  <c r="E510" i="1" s="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9" i="1"/>
  <c r="J509" i="1"/>
  <c r="I509" i="1"/>
  <c r="H509" i="1"/>
  <c r="U507" i="1"/>
  <c r="M507" i="1"/>
  <c r="U506" i="1"/>
  <c r="M506" i="1"/>
  <c r="U505" i="1"/>
  <c r="M505" i="1"/>
  <c r="U504" i="1"/>
  <c r="E504" i="1"/>
  <c r="U503" i="1"/>
  <c r="M503" i="1"/>
  <c r="BG502" i="1"/>
  <c r="BF502" i="1"/>
  <c r="BE502" i="1"/>
  <c r="BD502" i="1"/>
  <c r="BC502" i="1"/>
  <c r="BB502" i="1"/>
  <c r="BA502" i="1"/>
  <c r="AZ502" i="1"/>
  <c r="AY502" i="1"/>
  <c r="AX502" i="1"/>
  <c r="AW502" i="1"/>
  <c r="AV502" i="1"/>
  <c r="AU502" i="1"/>
  <c r="AT502" i="1"/>
  <c r="AS502" i="1"/>
  <c r="AR502" i="1"/>
  <c r="AQ502" i="1"/>
  <c r="AP502" i="1"/>
  <c r="AO502" i="1"/>
  <c r="AN502" i="1"/>
  <c r="AM502" i="1"/>
  <c r="AL502" i="1"/>
  <c r="AK502" i="1"/>
  <c r="AJ502" i="1"/>
  <c r="AI502" i="1"/>
  <c r="AH502" i="1"/>
  <c r="AG502" i="1"/>
  <c r="AF502" i="1"/>
  <c r="AE502" i="1"/>
  <c r="AD502" i="1"/>
  <c r="AC502" i="1"/>
  <c r="AB502" i="1"/>
  <c r="AA502" i="1"/>
  <c r="Z502" i="1"/>
  <c r="Y502" i="1"/>
  <c r="X502" i="1"/>
  <c r="W502" i="1"/>
  <c r="V502" i="1"/>
  <c r="T502" i="1"/>
  <c r="S502" i="1"/>
  <c r="R502" i="1"/>
  <c r="Q502" i="1"/>
  <c r="P502" i="1"/>
  <c r="O502" i="1"/>
  <c r="N502" i="1"/>
  <c r="L502" i="1"/>
  <c r="K502" i="1"/>
  <c r="J502" i="1"/>
  <c r="I502" i="1"/>
  <c r="H502" i="1"/>
  <c r="F502" i="1"/>
  <c r="AT501" i="1"/>
  <c r="AT470" i="1" s="1"/>
  <c r="U501" i="1"/>
  <c r="Q501" i="1"/>
  <c r="M501" i="1"/>
  <c r="U500" i="1"/>
  <c r="Q500" i="1"/>
  <c r="M500" i="1"/>
  <c r="G499" i="1"/>
  <c r="E499" i="1" s="1"/>
  <c r="U498" i="1"/>
  <c r="U497" i="1"/>
  <c r="Q497" i="1"/>
  <c r="M497" i="1"/>
  <c r="U496" i="1"/>
  <c r="Q496" i="1"/>
  <c r="M496" i="1"/>
  <c r="U495" i="1"/>
  <c r="U494" i="1"/>
  <c r="G493" i="1"/>
  <c r="E493" i="1" s="1"/>
  <c r="G492" i="1"/>
  <c r="E492" i="1"/>
  <c r="G491" i="1"/>
  <c r="E491" i="1" s="1"/>
  <c r="G490" i="1"/>
  <c r="E490" i="1"/>
  <c r="G489" i="1"/>
  <c r="E489" i="1" s="1"/>
  <c r="G488" i="1"/>
  <c r="E488" i="1"/>
  <c r="G487" i="1"/>
  <c r="E487" i="1" s="1"/>
  <c r="U486" i="1"/>
  <c r="G485" i="1"/>
  <c r="E485" i="1" s="1"/>
  <c r="U484" i="1"/>
  <c r="U483" i="1"/>
  <c r="G482" i="1"/>
  <c r="E482" i="1"/>
  <c r="G481" i="1"/>
  <c r="E481" i="1" s="1"/>
  <c r="Q480" i="1"/>
  <c r="G479" i="1"/>
  <c r="E479" i="1" s="1"/>
  <c r="U478" i="1"/>
  <c r="U477" i="1"/>
  <c r="G477" i="1"/>
  <c r="E477" i="1" s="1"/>
  <c r="G476" i="1"/>
  <c r="E476" i="1"/>
  <c r="U475" i="1"/>
  <c r="G474" i="1"/>
  <c r="U473" i="1"/>
  <c r="G473" i="1"/>
  <c r="E473" i="1"/>
  <c r="U472" i="1"/>
  <c r="U471" i="1"/>
  <c r="BG470" i="1"/>
  <c r="BF470" i="1"/>
  <c r="BE470" i="1"/>
  <c r="BD470" i="1"/>
  <c r="BC470" i="1"/>
  <c r="BB470" i="1"/>
  <c r="BA470" i="1"/>
  <c r="AZ470" i="1"/>
  <c r="AY470" i="1"/>
  <c r="AX470" i="1"/>
  <c r="AW470" i="1"/>
  <c r="AV470" i="1"/>
  <c r="AU470" i="1"/>
  <c r="AS470" i="1"/>
  <c r="AR470" i="1"/>
  <c r="AQ470" i="1"/>
  <c r="AP470" i="1"/>
  <c r="AO470" i="1"/>
  <c r="AN470" i="1"/>
  <c r="AM470" i="1"/>
  <c r="AL470" i="1"/>
  <c r="AK470" i="1"/>
  <c r="AJ470" i="1"/>
  <c r="AI470" i="1"/>
  <c r="AH470" i="1"/>
  <c r="AG470" i="1"/>
  <c r="AF470" i="1"/>
  <c r="AE470" i="1"/>
  <c r="AD470" i="1"/>
  <c r="AC470" i="1"/>
  <c r="AB470" i="1"/>
  <c r="AA470" i="1"/>
  <c r="Z470" i="1"/>
  <c r="Y470" i="1"/>
  <c r="X470" i="1"/>
  <c r="W470" i="1"/>
  <c r="T470" i="1"/>
  <c r="S470" i="1"/>
  <c r="R470" i="1"/>
  <c r="P470" i="1"/>
  <c r="O470" i="1"/>
  <c r="N470" i="1"/>
  <c r="L470" i="1"/>
  <c r="K470" i="1"/>
  <c r="J470" i="1"/>
  <c r="I470" i="1"/>
  <c r="H470" i="1"/>
  <c r="F470" i="1"/>
  <c r="G469" i="1"/>
  <c r="E469" i="1" s="1"/>
  <c r="BG468" i="1"/>
  <c r="BF468" i="1"/>
  <c r="BE468" i="1"/>
  <c r="BD468" i="1"/>
  <c r="BC468" i="1"/>
  <c r="BB468" i="1"/>
  <c r="BA468" i="1"/>
  <c r="AZ468" i="1"/>
  <c r="AY468" i="1"/>
  <c r="AX468" i="1"/>
  <c r="AW468" i="1"/>
  <c r="AV468" i="1"/>
  <c r="AU468" i="1"/>
  <c r="AT468" i="1"/>
  <c r="AS468" i="1"/>
  <c r="AR468" i="1"/>
  <c r="AQ468" i="1"/>
  <c r="AP468" i="1"/>
  <c r="AO468" i="1"/>
  <c r="AN468" i="1"/>
  <c r="AM468" i="1"/>
  <c r="AL468" i="1"/>
  <c r="AK468" i="1"/>
  <c r="AJ468" i="1"/>
  <c r="AI468" i="1"/>
  <c r="AH468" i="1"/>
  <c r="AG468" i="1"/>
  <c r="AF468" i="1"/>
  <c r="AE468" i="1"/>
  <c r="AD468" i="1"/>
  <c r="AC468" i="1"/>
  <c r="AB468" i="1"/>
  <c r="AA468" i="1"/>
  <c r="Z468" i="1"/>
  <c r="Y468" i="1"/>
  <c r="X468" i="1"/>
  <c r="W468" i="1"/>
  <c r="V468" i="1"/>
  <c r="T468" i="1"/>
  <c r="S468" i="1"/>
  <c r="R468" i="1"/>
  <c r="Q468" i="1"/>
  <c r="P468" i="1"/>
  <c r="O468" i="1"/>
  <c r="N468" i="1"/>
  <c r="M468" i="1"/>
  <c r="L468" i="1"/>
  <c r="K468" i="1"/>
  <c r="J468" i="1"/>
  <c r="I468" i="1"/>
  <c r="H468" i="1"/>
  <c r="F468" i="1"/>
  <c r="U467" i="1"/>
  <c r="U466" i="1"/>
  <c r="G466" i="1" s="1"/>
  <c r="E466" i="1" s="1"/>
  <c r="U465" i="1"/>
  <c r="U464" i="1"/>
  <c r="U463" i="1"/>
  <c r="U462" i="1"/>
  <c r="U461" i="1"/>
  <c r="U460" i="1"/>
  <c r="G460" i="1" s="1"/>
  <c r="E460" i="1" s="1"/>
  <c r="U459" i="1"/>
  <c r="G458" i="1"/>
  <c r="E458" i="1"/>
  <c r="U457" i="1"/>
  <c r="Q457" i="1"/>
  <c r="M457" i="1"/>
  <c r="M450" i="1" s="1"/>
  <c r="U456" i="1"/>
  <c r="G456" i="1"/>
  <c r="E456" i="1"/>
  <c r="U455" i="1"/>
  <c r="U454" i="1"/>
  <c r="G454" i="1" s="1"/>
  <c r="E454" i="1" s="1"/>
  <c r="U453" i="1"/>
  <c r="U452" i="1"/>
  <c r="G452" i="1"/>
  <c r="L450" i="1"/>
  <c r="BG450" i="1"/>
  <c r="BF450" i="1"/>
  <c r="BE450" i="1"/>
  <c r="BD450" i="1"/>
  <c r="BC450" i="1"/>
  <c r="BB450" i="1"/>
  <c r="BA450" i="1"/>
  <c r="AZ450" i="1"/>
  <c r="AY450" i="1"/>
  <c r="AX450" i="1"/>
  <c r="AW450" i="1"/>
  <c r="AV450" i="1"/>
  <c r="AU450" i="1"/>
  <c r="AT450" i="1"/>
  <c r="AS450" i="1"/>
  <c r="AR450" i="1"/>
  <c r="AQ450" i="1"/>
  <c r="AP450" i="1"/>
  <c r="AO450" i="1"/>
  <c r="AN450" i="1"/>
  <c r="AM450" i="1"/>
  <c r="AL450" i="1"/>
  <c r="AK450" i="1"/>
  <c r="AJ450" i="1"/>
  <c r="AI450" i="1"/>
  <c r="AH450" i="1"/>
  <c r="AG450" i="1"/>
  <c r="AF450" i="1"/>
  <c r="AE450" i="1"/>
  <c r="AD450" i="1"/>
  <c r="AC450" i="1"/>
  <c r="AB450" i="1"/>
  <c r="AA450" i="1"/>
  <c r="Z450" i="1"/>
  <c r="Y450" i="1"/>
  <c r="X450" i="1"/>
  <c r="W450" i="1"/>
  <c r="T450" i="1"/>
  <c r="S450" i="1"/>
  <c r="R450" i="1"/>
  <c r="P450" i="1"/>
  <c r="O450" i="1"/>
  <c r="N450" i="1"/>
  <c r="K450" i="1"/>
  <c r="J450" i="1"/>
  <c r="I450" i="1"/>
  <c r="H450" i="1"/>
  <c r="F450" i="1"/>
  <c r="G449" i="1"/>
  <c r="E449" i="1" s="1"/>
  <c r="U448" i="1"/>
  <c r="M448" i="1"/>
  <c r="U447" i="1"/>
  <c r="M447" i="1"/>
  <c r="G446" i="1"/>
  <c r="E446" i="1"/>
  <c r="G445" i="1"/>
  <c r="E445" i="1" s="1"/>
  <c r="BG444" i="1"/>
  <c r="BF444" i="1"/>
  <c r="BE444" i="1"/>
  <c r="BD444" i="1"/>
  <c r="BC444" i="1"/>
  <c r="BB444" i="1"/>
  <c r="BA444" i="1"/>
  <c r="AZ444" i="1"/>
  <c r="AY444" i="1"/>
  <c r="AX444" i="1"/>
  <c r="AW444" i="1"/>
  <c r="AV444" i="1"/>
  <c r="AU444" i="1"/>
  <c r="AT444" i="1"/>
  <c r="AS444" i="1"/>
  <c r="AR444" i="1"/>
  <c r="AQ444" i="1"/>
  <c r="AP444" i="1"/>
  <c r="AO444" i="1"/>
  <c r="AN444" i="1"/>
  <c r="AM444" i="1"/>
  <c r="AL444" i="1"/>
  <c r="AK444" i="1"/>
  <c r="AJ444" i="1"/>
  <c r="AI444" i="1"/>
  <c r="AH444" i="1"/>
  <c r="AG444" i="1"/>
  <c r="AF444" i="1"/>
  <c r="AE444" i="1"/>
  <c r="AD444" i="1"/>
  <c r="AC444" i="1"/>
  <c r="AB444" i="1"/>
  <c r="AA444" i="1"/>
  <c r="Z444" i="1"/>
  <c r="Y444" i="1"/>
  <c r="X444" i="1"/>
  <c r="W444" i="1"/>
  <c r="V444" i="1"/>
  <c r="T444" i="1"/>
  <c r="S444" i="1"/>
  <c r="R444" i="1"/>
  <c r="Q444" i="1"/>
  <c r="P444" i="1"/>
  <c r="O444" i="1"/>
  <c r="N444" i="1"/>
  <c r="L444" i="1"/>
  <c r="K444" i="1"/>
  <c r="J444" i="1"/>
  <c r="I444" i="1"/>
  <c r="H444" i="1"/>
  <c r="F444" i="1"/>
  <c r="U443" i="1"/>
  <c r="U442" i="1"/>
  <c r="U441" i="1"/>
  <c r="BG440" i="1"/>
  <c r="BF440" i="1"/>
  <c r="BE440" i="1"/>
  <c r="BD440" i="1"/>
  <c r="BC440" i="1"/>
  <c r="BB440" i="1"/>
  <c r="BA440" i="1"/>
  <c r="AZ440" i="1"/>
  <c r="AY440" i="1"/>
  <c r="AX440" i="1"/>
  <c r="AW440" i="1"/>
  <c r="AV440" i="1"/>
  <c r="AU440" i="1"/>
  <c r="AT440" i="1"/>
  <c r="AS440" i="1"/>
  <c r="AR440" i="1"/>
  <c r="AQ440" i="1"/>
  <c r="AP440" i="1"/>
  <c r="AO440" i="1"/>
  <c r="AN440" i="1"/>
  <c r="AM440" i="1"/>
  <c r="AL440" i="1"/>
  <c r="AK440" i="1"/>
  <c r="AJ440" i="1"/>
  <c r="AI440" i="1"/>
  <c r="AH440" i="1"/>
  <c r="AG440" i="1"/>
  <c r="AF440" i="1"/>
  <c r="AE440" i="1"/>
  <c r="AD440" i="1"/>
  <c r="AC440" i="1"/>
  <c r="AB440" i="1"/>
  <c r="AA440" i="1"/>
  <c r="Z440" i="1"/>
  <c r="Y440" i="1"/>
  <c r="X440" i="1"/>
  <c r="W440" i="1"/>
  <c r="V440" i="1"/>
  <c r="T440" i="1"/>
  <c r="S440" i="1"/>
  <c r="R440" i="1"/>
  <c r="Q440" i="1"/>
  <c r="P440" i="1"/>
  <c r="O440" i="1"/>
  <c r="N440" i="1"/>
  <c r="M440" i="1"/>
  <c r="L440" i="1"/>
  <c r="K440" i="1"/>
  <c r="J440" i="1"/>
  <c r="I440" i="1"/>
  <c r="H440" i="1"/>
  <c r="U439" i="1"/>
  <c r="G438" i="1"/>
  <c r="E438" i="1"/>
  <c r="U437" i="1"/>
  <c r="Q437" i="1"/>
  <c r="M437" i="1"/>
  <c r="K436" i="1"/>
  <c r="I436" i="1"/>
  <c r="I435" i="1"/>
  <c r="G434" i="1"/>
  <c r="E434" i="1"/>
  <c r="G432" i="1"/>
  <c r="U430" i="1"/>
  <c r="G429" i="1"/>
  <c r="E429" i="1" s="1"/>
  <c r="U428" i="1"/>
  <c r="G426" i="1"/>
  <c r="E426" i="1"/>
  <c r="G425" i="1"/>
  <c r="E425" i="1"/>
  <c r="U424" i="1"/>
  <c r="G424" i="1" s="1"/>
  <c r="E424" i="1" s="1"/>
  <c r="U423" i="1"/>
  <c r="K423" i="1"/>
  <c r="K421" i="1"/>
  <c r="U422" i="1"/>
  <c r="U420" i="1"/>
  <c r="G420" i="1"/>
  <c r="E420" i="1" s="1"/>
  <c r="U419" i="1"/>
  <c r="U418" i="1"/>
  <c r="G418" i="1" s="1"/>
  <c r="E418" i="1" s="1"/>
  <c r="U417" i="1"/>
  <c r="G414" i="1"/>
  <c r="E414" i="1"/>
  <c r="U413" i="1"/>
  <c r="U407" i="1"/>
  <c r="U406" i="1"/>
  <c r="U405" i="1"/>
  <c r="G405" i="1"/>
  <c r="E405" i="1"/>
  <c r="U404" i="1"/>
  <c r="U403" i="1"/>
  <c r="G403" i="1" s="1"/>
  <c r="E403" i="1" s="1"/>
  <c r="U402" i="1"/>
  <c r="G402" i="1" s="1"/>
  <c r="E402" i="1" s="1"/>
  <c r="U401" i="1"/>
  <c r="G401" i="1"/>
  <c r="E401" i="1"/>
  <c r="U400" i="1"/>
  <c r="BG399" i="1"/>
  <c r="BF399" i="1"/>
  <c r="BE399" i="1"/>
  <c r="BD399" i="1"/>
  <c r="BC399" i="1"/>
  <c r="BB399" i="1"/>
  <c r="BA399" i="1"/>
  <c r="AZ399" i="1"/>
  <c r="AY399" i="1"/>
  <c r="AX399" i="1"/>
  <c r="AW399" i="1"/>
  <c r="AV399" i="1"/>
  <c r="AU399" i="1"/>
  <c r="AT399" i="1"/>
  <c r="AS399" i="1"/>
  <c r="AR399" i="1"/>
  <c r="AQ399" i="1"/>
  <c r="AP399" i="1"/>
  <c r="AO399" i="1"/>
  <c r="AN399" i="1"/>
  <c r="AM399" i="1"/>
  <c r="AL399" i="1"/>
  <c r="AK399" i="1"/>
  <c r="AJ399" i="1"/>
  <c r="AI399" i="1"/>
  <c r="AH399" i="1"/>
  <c r="AG399" i="1"/>
  <c r="AF399" i="1"/>
  <c r="AE399" i="1"/>
  <c r="AD399" i="1"/>
  <c r="AC399" i="1"/>
  <c r="AB399" i="1"/>
  <c r="AA399" i="1"/>
  <c r="Z399" i="1"/>
  <c r="Y399" i="1"/>
  <c r="X399" i="1"/>
  <c r="W399" i="1"/>
  <c r="T399" i="1"/>
  <c r="S399" i="1"/>
  <c r="R399" i="1"/>
  <c r="Q399" i="1"/>
  <c r="P399" i="1"/>
  <c r="O399" i="1"/>
  <c r="N399" i="1"/>
  <c r="M399" i="1"/>
  <c r="L399" i="1"/>
  <c r="K399" i="1"/>
  <c r="J399" i="1"/>
  <c r="I399" i="1"/>
  <c r="H399" i="1"/>
  <c r="H381" i="1" s="1"/>
  <c r="U397" i="1"/>
  <c r="U396" i="1"/>
  <c r="U395" i="1"/>
  <c r="U393" i="1"/>
  <c r="U392" i="1"/>
  <c r="U391" i="1"/>
  <c r="U390" i="1"/>
  <c r="BG385" i="1"/>
  <c r="BF385" i="1"/>
  <c r="BE385" i="1"/>
  <c r="BD385" i="1"/>
  <c r="BC385" i="1"/>
  <c r="BB385" i="1"/>
  <c r="BA385" i="1"/>
  <c r="AZ385" i="1"/>
  <c r="AY385" i="1"/>
  <c r="AX385" i="1"/>
  <c r="AW385" i="1"/>
  <c r="AV385" i="1"/>
  <c r="AU385" i="1"/>
  <c r="AT385" i="1"/>
  <c r="AS385" i="1"/>
  <c r="AR385" i="1"/>
  <c r="AQ385" i="1"/>
  <c r="AP385" i="1"/>
  <c r="AO385" i="1"/>
  <c r="AN385" i="1"/>
  <c r="AM385" i="1"/>
  <c r="AL385" i="1"/>
  <c r="AK385" i="1"/>
  <c r="AJ385" i="1"/>
  <c r="AI385" i="1"/>
  <c r="AH385" i="1"/>
  <c r="AG385" i="1"/>
  <c r="BG384" i="1"/>
  <c r="BF384" i="1"/>
  <c r="BE384" i="1"/>
  <c r="BD384" i="1"/>
  <c r="BC384" i="1"/>
  <c r="BB384" i="1"/>
  <c r="BA384" i="1"/>
  <c r="AZ384" i="1"/>
  <c r="AY384" i="1"/>
  <c r="AX384" i="1"/>
  <c r="AW384" i="1"/>
  <c r="AV384" i="1"/>
  <c r="AU384" i="1"/>
  <c r="AT384" i="1"/>
  <c r="AS384" i="1"/>
  <c r="AR384" i="1"/>
  <c r="AQ384" i="1"/>
  <c r="AP384" i="1"/>
  <c r="AO384" i="1"/>
  <c r="AN384" i="1"/>
  <c r="AM384" i="1"/>
  <c r="AL384" i="1"/>
  <c r="AK384" i="1"/>
  <c r="AJ384" i="1"/>
  <c r="AI384" i="1"/>
  <c r="AH384" i="1"/>
  <c r="AG384" i="1"/>
  <c r="BG383" i="1"/>
  <c r="BF383" i="1"/>
  <c r="BE383" i="1"/>
  <c r="BD383" i="1"/>
  <c r="BC383" i="1"/>
  <c r="BB383" i="1"/>
  <c r="BA383" i="1"/>
  <c r="AZ383" i="1"/>
  <c r="AY383" i="1"/>
  <c r="AX383" i="1"/>
  <c r="AW383" i="1"/>
  <c r="AV383" i="1"/>
  <c r="AU383" i="1"/>
  <c r="AT383" i="1"/>
  <c r="AS383" i="1"/>
  <c r="AR383" i="1"/>
  <c r="AQ383" i="1"/>
  <c r="AP383" i="1"/>
  <c r="AO383" i="1"/>
  <c r="AN383" i="1"/>
  <c r="AM383" i="1"/>
  <c r="AL383" i="1"/>
  <c r="AK383" i="1"/>
  <c r="AJ383" i="1"/>
  <c r="AI383" i="1"/>
  <c r="AH383" i="1"/>
  <c r="AG383" i="1"/>
  <c r="G382" i="1"/>
  <c r="E382" i="1"/>
  <c r="F381" i="1"/>
  <c r="L380" i="1"/>
  <c r="L377" i="1" s="1"/>
  <c r="L371" i="1" s="1"/>
  <c r="H380" i="1"/>
  <c r="H377" i="1"/>
  <c r="H371" i="1" s="1"/>
  <c r="I378" i="1"/>
  <c r="G378" i="1" s="1"/>
  <c r="E378" i="1" s="1"/>
  <c r="BG371" i="1"/>
  <c r="BF371" i="1"/>
  <c r="BE371" i="1"/>
  <c r="BD371" i="1"/>
  <c r="BC371" i="1"/>
  <c r="BB371" i="1"/>
  <c r="BA371" i="1"/>
  <c r="AZ371" i="1"/>
  <c r="AY371" i="1"/>
  <c r="AX371" i="1"/>
  <c r="AW371" i="1"/>
  <c r="AV371" i="1"/>
  <c r="AU371" i="1"/>
  <c r="AT371" i="1"/>
  <c r="AS371" i="1"/>
  <c r="AR371" i="1"/>
  <c r="AQ371" i="1"/>
  <c r="AP371" i="1"/>
  <c r="AO371" i="1"/>
  <c r="AN371" i="1"/>
  <c r="AM371" i="1"/>
  <c r="AL371" i="1"/>
  <c r="AK371" i="1"/>
  <c r="AJ371" i="1"/>
  <c r="AI371" i="1"/>
  <c r="AH371" i="1"/>
  <c r="AG371" i="1"/>
  <c r="AF371" i="1"/>
  <c r="AE371" i="1"/>
  <c r="AD371" i="1"/>
  <c r="AC371" i="1"/>
  <c r="AB371" i="1"/>
  <c r="AA371" i="1"/>
  <c r="Z371" i="1"/>
  <c r="Y371" i="1"/>
  <c r="X371" i="1"/>
  <c r="W371" i="1"/>
  <c r="V371" i="1"/>
  <c r="T371" i="1"/>
  <c r="S371" i="1"/>
  <c r="R371" i="1"/>
  <c r="Q371" i="1"/>
  <c r="P371" i="1"/>
  <c r="O371" i="1"/>
  <c r="N371" i="1"/>
  <c r="M371" i="1"/>
  <c r="K371" i="1"/>
  <c r="J371" i="1"/>
  <c r="U376" i="1"/>
  <c r="U375" i="1"/>
  <c r="U374" i="1"/>
  <c r="U373" i="1"/>
  <c r="U372" i="1"/>
  <c r="F371" i="1"/>
  <c r="U369" i="1"/>
  <c r="M369" i="1"/>
  <c r="U368" i="1"/>
  <c r="U367" i="1"/>
  <c r="U366" i="1"/>
  <c r="G366" i="1" s="1"/>
  <c r="E366" i="1" s="1"/>
  <c r="U365" i="1"/>
  <c r="V364" i="1"/>
  <c r="U364" i="1" s="1"/>
  <c r="L364" i="1"/>
  <c r="L360" i="1"/>
  <c r="H364" i="1"/>
  <c r="H360" i="1" s="1"/>
  <c r="U363" i="1"/>
  <c r="G363" i="1" s="1"/>
  <c r="E363" i="1" s="1"/>
  <c r="U362" i="1"/>
  <c r="U360" i="1" s="1"/>
  <c r="U361" i="1"/>
  <c r="Q361" i="1"/>
  <c r="Q360" i="1" s="1"/>
  <c r="BG360" i="1"/>
  <c r="BF360" i="1"/>
  <c r="BE360" i="1"/>
  <c r="BD360" i="1"/>
  <c r="BC360" i="1"/>
  <c r="BB360" i="1"/>
  <c r="BA360" i="1"/>
  <c r="AZ360" i="1"/>
  <c r="AY360" i="1"/>
  <c r="AX360" i="1"/>
  <c r="AW360" i="1"/>
  <c r="AV360" i="1"/>
  <c r="AU360" i="1"/>
  <c r="AT360" i="1"/>
  <c r="AS360" i="1"/>
  <c r="AR360" i="1"/>
  <c r="AQ360" i="1"/>
  <c r="AP360" i="1"/>
  <c r="AO360" i="1"/>
  <c r="AN360" i="1"/>
  <c r="AM360" i="1"/>
  <c r="AL360" i="1"/>
  <c r="AK360" i="1"/>
  <c r="AJ360" i="1"/>
  <c r="AI360" i="1"/>
  <c r="AH360" i="1"/>
  <c r="AG360" i="1"/>
  <c r="AF360" i="1"/>
  <c r="AE360" i="1"/>
  <c r="AD360" i="1"/>
  <c r="AC360" i="1"/>
  <c r="AB360" i="1"/>
  <c r="AA360" i="1"/>
  <c r="Z360" i="1"/>
  <c r="Y360" i="1"/>
  <c r="X360" i="1"/>
  <c r="W360" i="1"/>
  <c r="T360" i="1"/>
  <c r="S360" i="1"/>
  <c r="R360" i="1"/>
  <c r="P360" i="1"/>
  <c r="O360" i="1"/>
  <c r="N360" i="1"/>
  <c r="K360" i="1"/>
  <c r="J360" i="1"/>
  <c r="I360" i="1"/>
  <c r="F360" i="1"/>
  <c r="G359" i="1"/>
  <c r="E359" i="1" s="1"/>
  <c r="G358" i="1"/>
  <c r="E358" i="1" s="1"/>
  <c r="G357" i="1"/>
  <c r="E357" i="1" s="1"/>
  <c r="G356" i="1"/>
  <c r="E356" i="1"/>
  <c r="G355" i="1"/>
  <c r="E355" i="1" s="1"/>
  <c r="G354" i="1"/>
  <c r="E354" i="1" s="1"/>
  <c r="U353" i="1"/>
  <c r="U343" i="1" s="1"/>
  <c r="M353" i="1"/>
  <c r="M343" i="1" s="1"/>
  <c r="G352" i="1"/>
  <c r="E352" i="1"/>
  <c r="G351" i="1"/>
  <c r="E351" i="1" s="1"/>
  <c r="G350" i="1"/>
  <c r="E350" i="1"/>
  <c r="G349" i="1"/>
  <c r="E349" i="1" s="1"/>
  <c r="G348" i="1"/>
  <c r="E348" i="1"/>
  <c r="U347" i="1"/>
  <c r="G346" i="1"/>
  <c r="E346" i="1" s="1"/>
  <c r="G345" i="1"/>
  <c r="E345" i="1" s="1"/>
  <c r="G344" i="1"/>
  <c r="E344" i="1" s="1"/>
  <c r="BG343" i="1"/>
  <c r="BF343" i="1"/>
  <c r="BE343" i="1"/>
  <c r="BD343" i="1"/>
  <c r="BC343" i="1"/>
  <c r="BB343" i="1"/>
  <c r="BA343" i="1"/>
  <c r="AZ343" i="1"/>
  <c r="AY343" i="1"/>
  <c r="AX343" i="1"/>
  <c r="AW343" i="1"/>
  <c r="AV343" i="1"/>
  <c r="AU343" i="1"/>
  <c r="AT343" i="1"/>
  <c r="AS343" i="1"/>
  <c r="AR343" i="1"/>
  <c r="AQ343" i="1"/>
  <c r="AP343" i="1"/>
  <c r="AO343" i="1"/>
  <c r="AN343" i="1"/>
  <c r="AM343" i="1"/>
  <c r="AL343" i="1"/>
  <c r="AK343" i="1"/>
  <c r="AJ343" i="1"/>
  <c r="AI343" i="1"/>
  <c r="AH343" i="1"/>
  <c r="AG343" i="1"/>
  <c r="AF343" i="1"/>
  <c r="AE343" i="1"/>
  <c r="AD343" i="1"/>
  <c r="AC343" i="1"/>
  <c r="AB343" i="1"/>
  <c r="AA343" i="1"/>
  <c r="Z343" i="1"/>
  <c r="Y343" i="1"/>
  <c r="X343" i="1"/>
  <c r="W343" i="1"/>
  <c r="V343" i="1"/>
  <c r="T343" i="1"/>
  <c r="S343" i="1"/>
  <c r="R343" i="1"/>
  <c r="Q343" i="1"/>
  <c r="P343" i="1"/>
  <c r="O343" i="1"/>
  <c r="N343" i="1"/>
  <c r="L343" i="1"/>
  <c r="K343" i="1"/>
  <c r="J343" i="1"/>
  <c r="I343" i="1"/>
  <c r="H343" i="1"/>
  <c r="F343" i="1"/>
  <c r="U342" i="1"/>
  <c r="U341" i="1"/>
  <c r="BG340" i="1"/>
  <c r="BF340" i="1"/>
  <c r="BE340" i="1"/>
  <c r="BD340" i="1"/>
  <c r="BC340" i="1"/>
  <c r="BB340" i="1"/>
  <c r="BA340" i="1"/>
  <c r="AZ340" i="1"/>
  <c r="AY340" i="1"/>
  <c r="AX340" i="1"/>
  <c r="AW340" i="1"/>
  <c r="AV340" i="1"/>
  <c r="AU340" i="1"/>
  <c r="AT340" i="1"/>
  <c r="AS340" i="1"/>
  <c r="AR340" i="1"/>
  <c r="AQ340" i="1"/>
  <c r="AP340" i="1"/>
  <c r="AO340" i="1"/>
  <c r="AN340" i="1"/>
  <c r="AM340" i="1"/>
  <c r="AL340" i="1"/>
  <c r="AK340" i="1"/>
  <c r="AJ340" i="1"/>
  <c r="AI340" i="1"/>
  <c r="AH340" i="1"/>
  <c r="AG340" i="1"/>
  <c r="AF340" i="1"/>
  <c r="AE340" i="1"/>
  <c r="AD340" i="1"/>
  <c r="AC340" i="1"/>
  <c r="AB340" i="1"/>
  <c r="AA340" i="1"/>
  <c r="Z340" i="1"/>
  <c r="Y340" i="1"/>
  <c r="X340" i="1"/>
  <c r="W340" i="1"/>
  <c r="V340" i="1"/>
  <c r="T340" i="1"/>
  <c r="S340" i="1"/>
  <c r="R340" i="1"/>
  <c r="Q340" i="1"/>
  <c r="P340" i="1"/>
  <c r="O340" i="1"/>
  <c r="N340" i="1"/>
  <c r="M340" i="1"/>
  <c r="L340" i="1"/>
  <c r="K340" i="1"/>
  <c r="J340" i="1"/>
  <c r="I340" i="1"/>
  <c r="H340" i="1"/>
  <c r="F340" i="1"/>
  <c r="U339" i="1"/>
  <c r="BG338" i="1"/>
  <c r="BF338" i="1"/>
  <c r="BE338" i="1"/>
  <c r="BD338" i="1"/>
  <c r="BC338" i="1"/>
  <c r="BB338" i="1"/>
  <c r="BA338" i="1"/>
  <c r="AZ338" i="1"/>
  <c r="AY338" i="1"/>
  <c r="AX338" i="1"/>
  <c r="AW338" i="1"/>
  <c r="AV338" i="1"/>
  <c r="AU338" i="1"/>
  <c r="AT338" i="1"/>
  <c r="AS338" i="1"/>
  <c r="AR338" i="1"/>
  <c r="AQ338" i="1"/>
  <c r="AP338" i="1"/>
  <c r="AO338" i="1"/>
  <c r="AN338" i="1"/>
  <c r="AM338" i="1"/>
  <c r="AL338" i="1"/>
  <c r="AK338" i="1"/>
  <c r="AJ338" i="1"/>
  <c r="AI338" i="1"/>
  <c r="AH338" i="1"/>
  <c r="AG338" i="1"/>
  <c r="AF338" i="1"/>
  <c r="AE338" i="1"/>
  <c r="AD338" i="1"/>
  <c r="AC338" i="1"/>
  <c r="AB338" i="1"/>
  <c r="AA338" i="1"/>
  <c r="Z338" i="1"/>
  <c r="Y338" i="1"/>
  <c r="X338" i="1"/>
  <c r="W338" i="1"/>
  <c r="V338" i="1"/>
  <c r="T338" i="1"/>
  <c r="S338" i="1"/>
  <c r="R338" i="1"/>
  <c r="Q338" i="1"/>
  <c r="P338" i="1"/>
  <c r="O338" i="1"/>
  <c r="N338" i="1"/>
  <c r="M338" i="1"/>
  <c r="L338" i="1"/>
  <c r="K338" i="1"/>
  <c r="J338" i="1"/>
  <c r="I338" i="1"/>
  <c r="H338" i="1"/>
  <c r="F338" i="1"/>
  <c r="U337" i="1"/>
  <c r="G337" i="1" s="1"/>
  <c r="E337" i="1" s="1"/>
  <c r="Q337" i="1"/>
  <c r="M337" i="1"/>
  <c r="U336" i="1"/>
  <c r="U335" i="1"/>
  <c r="G335" i="1"/>
  <c r="E335" i="1" s="1"/>
  <c r="U334" i="1"/>
  <c r="G334" i="1" s="1"/>
  <c r="E334" i="1" s="1"/>
  <c r="U333" i="1"/>
  <c r="G333" i="1"/>
  <c r="E333" i="1" s="1"/>
  <c r="U332" i="1"/>
  <c r="G332" i="1" s="1"/>
  <c r="E332" i="1" s="1"/>
  <c r="U331" i="1"/>
  <c r="U330" i="1"/>
  <c r="U329" i="1"/>
  <c r="M329" i="1"/>
  <c r="U328" i="1"/>
  <c r="G328" i="1"/>
  <c r="E328" i="1"/>
  <c r="U327" i="1"/>
  <c r="Q327" i="1"/>
  <c r="M327" i="1"/>
  <c r="U326"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T325" i="1"/>
  <c r="S325" i="1"/>
  <c r="R325" i="1"/>
  <c r="P325" i="1"/>
  <c r="O325" i="1"/>
  <c r="N325" i="1"/>
  <c r="L325" i="1"/>
  <c r="K325" i="1"/>
  <c r="J325" i="1"/>
  <c r="I325" i="1"/>
  <c r="H325" i="1"/>
  <c r="F325" i="1"/>
  <c r="U324" i="1"/>
  <c r="G324" i="1" s="1"/>
  <c r="E324" i="1" s="1"/>
  <c r="U323" i="1"/>
  <c r="G323" i="1" s="1"/>
  <c r="E323" i="1" s="1"/>
  <c r="U322" i="1"/>
  <c r="U321" i="1"/>
  <c r="G321" i="1"/>
  <c r="E321" i="1" s="1"/>
  <c r="U320" i="1"/>
  <c r="H320" i="1"/>
  <c r="G319" i="1"/>
  <c r="E319" i="1"/>
  <c r="U318" i="1"/>
  <c r="G318" i="1" s="1"/>
  <c r="E318" i="1" s="1"/>
  <c r="G317" i="1"/>
  <c r="E317" i="1"/>
  <c r="U316" i="1"/>
  <c r="G316" i="1" s="1"/>
  <c r="U315" i="1"/>
  <c r="U314" i="1"/>
  <c r="U313" i="1"/>
  <c r="G313" i="1" s="1"/>
  <c r="E313" i="1" s="1"/>
  <c r="U312" i="1"/>
  <c r="G311" i="1"/>
  <c r="E311" i="1" s="1"/>
  <c r="BG302" i="1"/>
  <c r="I310" i="1"/>
  <c r="U309" i="1"/>
  <c r="M309" i="1"/>
  <c r="U308" i="1"/>
  <c r="M308" i="1"/>
  <c r="U307" i="1"/>
  <c r="M307" i="1"/>
  <c r="U306" i="1"/>
  <c r="M306" i="1"/>
  <c r="Q302" i="1"/>
  <c r="U305" i="1"/>
  <c r="G305" i="1"/>
  <c r="E305" i="1" s="1"/>
  <c r="V304" i="1"/>
  <c r="V302" i="1" s="1"/>
  <c r="U304" i="1"/>
  <c r="U302" i="1" s="1"/>
  <c r="U303" i="1"/>
  <c r="M303" i="1"/>
  <c r="BF302" i="1"/>
  <c r="BE302" i="1"/>
  <c r="BD302" i="1"/>
  <c r="BC302" i="1"/>
  <c r="BB302" i="1"/>
  <c r="BA302" i="1"/>
  <c r="AZ302" i="1"/>
  <c r="AY302" i="1"/>
  <c r="AX302" i="1"/>
  <c r="AW302" i="1"/>
  <c r="AV302" i="1"/>
  <c r="AU302" i="1"/>
  <c r="AT302" i="1"/>
  <c r="AS302" i="1"/>
  <c r="AR302" i="1"/>
  <c r="AQ302" i="1"/>
  <c r="AP302" i="1"/>
  <c r="AO302" i="1"/>
  <c r="AN302" i="1"/>
  <c r="AM302" i="1"/>
  <c r="AL302" i="1"/>
  <c r="AK302" i="1"/>
  <c r="AJ302" i="1"/>
  <c r="AI302" i="1"/>
  <c r="AH302" i="1"/>
  <c r="AG302" i="1"/>
  <c r="AF302" i="1"/>
  <c r="AE302" i="1"/>
  <c r="AD302" i="1"/>
  <c r="AC302" i="1"/>
  <c r="AB302" i="1"/>
  <c r="AA302" i="1"/>
  <c r="Z302" i="1"/>
  <c r="Y302" i="1"/>
  <c r="X302" i="1"/>
  <c r="W302" i="1"/>
  <c r="T302" i="1"/>
  <c r="S302" i="1"/>
  <c r="R302" i="1"/>
  <c r="P302" i="1"/>
  <c r="O302" i="1"/>
  <c r="N302" i="1"/>
  <c r="L302" i="1"/>
  <c r="K302" i="1"/>
  <c r="J302" i="1"/>
  <c r="U301" i="1"/>
  <c r="G301" i="1" s="1"/>
  <c r="E301" i="1" s="1"/>
  <c r="G300" i="1"/>
  <c r="E300" i="1"/>
  <c r="U299" i="1"/>
  <c r="M299" i="1"/>
  <c r="BG298" i="1"/>
  <c r="BF298" i="1"/>
  <c r="BE298" i="1"/>
  <c r="BD298" i="1"/>
  <c r="BC298" i="1"/>
  <c r="BB298" i="1"/>
  <c r="BA298" i="1"/>
  <c r="AZ298" i="1"/>
  <c r="AY298" i="1"/>
  <c r="AX298" i="1"/>
  <c r="AW298" i="1"/>
  <c r="AV298" i="1"/>
  <c r="AU298" i="1"/>
  <c r="AT298" i="1"/>
  <c r="AS298" i="1"/>
  <c r="AR298" i="1"/>
  <c r="AQ298" i="1"/>
  <c r="AP298" i="1"/>
  <c r="AO298" i="1"/>
  <c r="AN298" i="1"/>
  <c r="AM298" i="1"/>
  <c r="AL298" i="1"/>
  <c r="AK298" i="1"/>
  <c r="AJ298" i="1"/>
  <c r="AI298" i="1"/>
  <c r="AH298" i="1"/>
  <c r="AG298" i="1"/>
  <c r="AF298" i="1"/>
  <c r="AE298" i="1"/>
  <c r="AD298" i="1"/>
  <c r="AC298" i="1"/>
  <c r="AB298" i="1"/>
  <c r="AA298" i="1"/>
  <c r="Z298" i="1"/>
  <c r="Y298" i="1"/>
  <c r="X298" i="1"/>
  <c r="W298" i="1"/>
  <c r="V298" i="1"/>
  <c r="T298" i="1"/>
  <c r="S298" i="1"/>
  <c r="R298" i="1"/>
  <c r="Q298" i="1"/>
  <c r="P298" i="1"/>
  <c r="O298" i="1"/>
  <c r="N298" i="1"/>
  <c r="L298" i="1"/>
  <c r="K298" i="1"/>
  <c r="J298" i="1"/>
  <c r="I298" i="1"/>
  <c r="H298" i="1"/>
  <c r="U297" i="1"/>
  <c r="U290" i="1" s="1"/>
  <c r="G297" i="1"/>
  <c r="E297" i="1" s="1"/>
  <c r="U296" i="1"/>
  <c r="M296" i="1"/>
  <c r="M295" i="1"/>
  <c r="G294" i="1"/>
  <c r="E294" i="1" s="1"/>
  <c r="M292"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T290" i="1"/>
  <c r="S290" i="1"/>
  <c r="R290" i="1"/>
  <c r="Q290" i="1"/>
  <c r="P290" i="1"/>
  <c r="O290" i="1"/>
  <c r="N290" i="1"/>
  <c r="L290" i="1"/>
  <c r="K290" i="1"/>
  <c r="J290" i="1"/>
  <c r="I290" i="1"/>
  <c r="H290" i="1"/>
  <c r="AT257" i="1"/>
  <c r="G288" i="1"/>
  <c r="E288" i="1" s="1"/>
  <c r="G284" i="1"/>
  <c r="E284" i="1" s="1"/>
  <c r="K257" i="1"/>
  <c r="G278" i="1"/>
  <c r="E278" i="1" s="1"/>
  <c r="G270" i="1"/>
  <c r="E270" i="1"/>
  <c r="G269" i="1"/>
  <c r="E269" i="1"/>
  <c r="G268" i="1"/>
  <c r="E268" i="1" s="1"/>
  <c r="G266" i="1"/>
  <c r="E266" i="1" s="1"/>
  <c r="BG257" i="1"/>
  <c r="BF257" i="1"/>
  <c r="BE257" i="1"/>
  <c r="BD257" i="1"/>
  <c r="BC257" i="1"/>
  <c r="BB257" i="1"/>
  <c r="BA257" i="1"/>
  <c r="AZ257" i="1"/>
  <c r="AY257" i="1"/>
  <c r="AX257" i="1"/>
  <c r="AW257" i="1"/>
  <c r="AV257" i="1"/>
  <c r="AU257" i="1"/>
  <c r="AS257" i="1"/>
  <c r="AR257" i="1"/>
  <c r="AQ257" i="1"/>
  <c r="AP257" i="1"/>
  <c r="AO257" i="1"/>
  <c r="AN257" i="1"/>
  <c r="AM257" i="1"/>
  <c r="AL257" i="1"/>
  <c r="AK257" i="1"/>
  <c r="AJ257" i="1"/>
  <c r="AI257" i="1"/>
  <c r="AH257" i="1"/>
  <c r="AG257" i="1"/>
  <c r="AF257" i="1"/>
  <c r="AE257" i="1"/>
  <c r="AD257" i="1"/>
  <c r="AC257" i="1"/>
  <c r="AB257" i="1"/>
  <c r="AA257" i="1"/>
  <c r="Z257" i="1"/>
  <c r="Y257" i="1"/>
  <c r="X257" i="1"/>
  <c r="W257" i="1"/>
  <c r="T257" i="1"/>
  <c r="S257" i="1"/>
  <c r="R257" i="1"/>
  <c r="P257" i="1"/>
  <c r="O257" i="1"/>
  <c r="N257" i="1"/>
  <c r="J257" i="1"/>
  <c r="I257" i="1"/>
  <c r="F257" i="1"/>
  <c r="G234" i="1"/>
  <c r="E234" i="1"/>
  <c r="G233" i="1"/>
  <c r="E233" i="1"/>
  <c r="G232" i="1"/>
  <c r="E232" i="1" s="1"/>
  <c r="U231" i="1"/>
  <c r="G230" i="1"/>
  <c r="E230" i="1" s="1"/>
  <c r="U229" i="1"/>
  <c r="Q229" i="1"/>
  <c r="M229" i="1"/>
  <c r="G229" i="1" s="1"/>
  <c r="E229" i="1" s="1"/>
  <c r="G228" i="1"/>
  <c r="E228" i="1" s="1"/>
  <c r="U227" i="1"/>
  <c r="U226" i="1"/>
  <c r="G226" i="1"/>
  <c r="E226" i="1" s="1"/>
  <c r="U225" i="1"/>
  <c r="Q225" i="1"/>
  <c r="M225" i="1"/>
  <c r="M217" i="1" s="1"/>
  <c r="G224" i="1"/>
  <c r="E224" i="1" s="1"/>
  <c r="U223" i="1"/>
  <c r="G223" i="1"/>
  <c r="E223" i="1" s="1"/>
  <c r="U222" i="1"/>
  <c r="U221" i="1"/>
  <c r="G221" i="1"/>
  <c r="E221" i="1" s="1"/>
  <c r="U220" i="1"/>
  <c r="G219" i="1"/>
  <c r="E219" i="1"/>
  <c r="U218" i="1"/>
  <c r="Q218" i="1"/>
  <c r="M218" i="1"/>
  <c r="BG217" i="1"/>
  <c r="BF217" i="1"/>
  <c r="BE217" i="1"/>
  <c r="BD217" i="1"/>
  <c r="BC217" i="1"/>
  <c r="BB217" i="1"/>
  <c r="BA217" i="1"/>
  <c r="AZ217" i="1"/>
  <c r="AY217" i="1"/>
  <c r="AX217" i="1"/>
  <c r="AW217" i="1"/>
  <c r="AV217" i="1"/>
  <c r="AU217" i="1"/>
  <c r="AT217" i="1"/>
  <c r="AS217" i="1"/>
  <c r="AR217" i="1"/>
  <c r="AQ217" i="1"/>
  <c r="AP217" i="1"/>
  <c r="AO217" i="1"/>
  <c r="AN217" i="1"/>
  <c r="AM217" i="1"/>
  <c r="AL217" i="1"/>
  <c r="AK217" i="1"/>
  <c r="AJ217" i="1"/>
  <c r="AI217" i="1"/>
  <c r="AH217" i="1"/>
  <c r="AG217" i="1"/>
  <c r="AF217" i="1"/>
  <c r="AE217" i="1"/>
  <c r="AD217" i="1"/>
  <c r="AC217" i="1"/>
  <c r="AB217" i="1"/>
  <c r="AA217" i="1"/>
  <c r="Z217" i="1"/>
  <c r="Y217" i="1"/>
  <c r="X217" i="1"/>
  <c r="W217" i="1"/>
  <c r="V217" i="1"/>
  <c r="T217" i="1"/>
  <c r="S217" i="1"/>
  <c r="R217" i="1"/>
  <c r="P217" i="1"/>
  <c r="O217" i="1"/>
  <c r="N217" i="1"/>
  <c r="L217" i="1"/>
  <c r="K217" i="1"/>
  <c r="J217" i="1"/>
  <c r="I217" i="1"/>
  <c r="H217" i="1"/>
  <c r="F217" i="1"/>
  <c r="U216" i="1"/>
  <c r="U215" i="1"/>
  <c r="G215" i="1"/>
  <c r="E215" i="1" s="1"/>
  <c r="U214" i="1"/>
  <c r="U213" i="1"/>
  <c r="M213" i="1"/>
  <c r="G213" i="1" s="1"/>
  <c r="G212" i="1"/>
  <c r="E212" i="1" s="1"/>
  <c r="M212" i="1"/>
  <c r="M211" i="1"/>
  <c r="U210" i="1"/>
  <c r="M210" i="1"/>
  <c r="M209" i="1"/>
  <c r="G209" i="1" s="1"/>
  <c r="E209" i="1" s="1"/>
  <c r="M208" i="1"/>
  <c r="G207" i="1"/>
  <c r="E207" i="1"/>
  <c r="G206" i="1"/>
  <c r="E206" i="1" s="1"/>
  <c r="M205" i="1"/>
  <c r="M204" i="1"/>
  <c r="U203" i="1"/>
  <c r="Q203" i="1"/>
  <c r="M203" i="1"/>
  <c r="Q202" i="1"/>
  <c r="M202" i="1"/>
  <c r="U201" i="1"/>
  <c r="M201" i="1"/>
  <c r="Q200" i="1"/>
  <c r="M200" i="1"/>
  <c r="Q199" i="1"/>
  <c r="M199" i="1"/>
  <c r="U198" i="1"/>
  <c r="G198" i="1"/>
  <c r="E198" i="1" s="1"/>
  <c r="M197" i="1"/>
  <c r="M196" i="1"/>
  <c r="G195" i="1"/>
  <c r="E195" i="1"/>
  <c r="U193" i="1"/>
  <c r="Q193" i="1"/>
  <c r="M193" i="1"/>
  <c r="U192" i="1"/>
  <c r="M192" i="1"/>
  <c r="U191" i="1"/>
  <c r="M191" i="1"/>
  <c r="G191" i="1" s="1"/>
  <c r="G190" i="1"/>
  <c r="E190" i="1" s="1"/>
  <c r="G189"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T188" i="1"/>
  <c r="S188" i="1"/>
  <c r="R188" i="1"/>
  <c r="P188" i="1"/>
  <c r="O188" i="1"/>
  <c r="N188" i="1"/>
  <c r="L188" i="1"/>
  <c r="K188" i="1"/>
  <c r="J188" i="1"/>
  <c r="I188" i="1"/>
  <c r="H188" i="1"/>
  <c r="F188" i="1"/>
  <c r="M187" i="1"/>
  <c r="U180" i="1"/>
  <c r="M186" i="1"/>
  <c r="U185" i="1"/>
  <c r="M185" i="1"/>
  <c r="G184" i="1"/>
  <c r="E184" i="1" s="1"/>
  <c r="U183" i="1"/>
  <c r="M183" i="1"/>
  <c r="BG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D180" i="1"/>
  <c r="AC180" i="1"/>
  <c r="AB180" i="1"/>
  <c r="AA180" i="1"/>
  <c r="Z180" i="1"/>
  <c r="Y180" i="1"/>
  <c r="X180" i="1"/>
  <c r="W180" i="1"/>
  <c r="T180" i="1"/>
  <c r="S180" i="1"/>
  <c r="R180" i="1"/>
  <c r="Q180" i="1"/>
  <c r="P180" i="1"/>
  <c r="O180" i="1"/>
  <c r="N180" i="1"/>
  <c r="L180" i="1"/>
  <c r="K180" i="1"/>
  <c r="J180" i="1"/>
  <c r="I180" i="1"/>
  <c r="H180" i="1"/>
  <c r="F180" i="1"/>
  <c r="V179" i="1"/>
  <c r="U179" i="1"/>
  <c r="G179" i="1"/>
  <c r="E179" i="1" s="1"/>
  <c r="U178" i="1"/>
  <c r="M178" i="1"/>
  <c r="U177" i="1"/>
  <c r="M177" i="1"/>
  <c r="V176" i="1"/>
  <c r="U176" i="1"/>
  <c r="U175" i="1"/>
  <c r="G174" i="1"/>
  <c r="E174" i="1" s="1"/>
  <c r="M173" i="1"/>
  <c r="G173" i="1" s="1"/>
  <c r="E173" i="1" s="1"/>
  <c r="M172" i="1"/>
  <c r="Q171" i="1"/>
  <c r="Q161" i="1" s="1"/>
  <c r="M171" i="1"/>
  <c r="M170" i="1"/>
  <c r="E170" i="1"/>
  <c r="U169" i="1"/>
  <c r="M168" i="1"/>
  <c r="U166" i="1"/>
  <c r="G166" i="1" s="1"/>
  <c r="E166" i="1" s="1"/>
  <c r="U164" i="1"/>
  <c r="G163" i="1"/>
  <c r="E163" i="1" s="1"/>
  <c r="G162" i="1"/>
  <c r="E162" i="1" s="1"/>
  <c r="BG161" i="1"/>
  <c r="BF161" i="1"/>
  <c r="BE161" i="1"/>
  <c r="BD161" i="1"/>
  <c r="BC161" i="1"/>
  <c r="BB161" i="1"/>
  <c r="BA161" i="1"/>
  <c r="AZ161" i="1"/>
  <c r="AY161"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T161" i="1"/>
  <c r="S161" i="1"/>
  <c r="R161" i="1"/>
  <c r="P161" i="1"/>
  <c r="O161" i="1"/>
  <c r="N161" i="1"/>
  <c r="L161" i="1"/>
  <c r="K161" i="1"/>
  <c r="J161" i="1"/>
  <c r="I161" i="1"/>
  <c r="H161" i="1"/>
  <c r="F161" i="1"/>
  <c r="BG154" i="1"/>
  <c r="BD154" i="1"/>
  <c r="K154" i="1"/>
  <c r="I154" i="1"/>
  <c r="BF154" i="1"/>
  <c r="BE154" i="1"/>
  <c r="BC154" i="1"/>
  <c r="BB154" i="1"/>
  <c r="BA154" i="1"/>
  <c r="AZ154" i="1"/>
  <c r="AY154" i="1"/>
  <c r="AX154"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T154" i="1"/>
  <c r="S154" i="1"/>
  <c r="R154" i="1"/>
  <c r="Q154" i="1"/>
  <c r="P154" i="1"/>
  <c r="O154" i="1"/>
  <c r="N154" i="1"/>
  <c r="L154" i="1"/>
  <c r="J154" i="1"/>
  <c r="U159" i="1"/>
  <c r="M159" i="1"/>
  <c r="U158" i="1"/>
  <c r="U157" i="1"/>
  <c r="G156" i="1"/>
  <c r="E156" i="1" s="1"/>
  <c r="G155" i="1"/>
  <c r="E155" i="1"/>
  <c r="U149" i="1"/>
  <c r="G149" i="1" s="1"/>
  <c r="E149" i="1" s="1"/>
  <c r="U151" i="1"/>
  <c r="G151" i="1"/>
  <c r="E151" i="1" s="1"/>
  <c r="U148" i="1"/>
  <c r="U147" i="1"/>
  <c r="Q147" i="1"/>
  <c r="M147" i="1"/>
  <c r="W146" i="1"/>
  <c r="V143" i="1"/>
  <c r="U145" i="1"/>
  <c r="BG144" i="1"/>
  <c r="BG143" i="1" s="1"/>
  <c r="U144" i="1"/>
  <c r="Q144" i="1"/>
  <c r="G144" i="1" s="1"/>
  <c r="E144" i="1" s="1"/>
  <c r="Q143" i="1"/>
  <c r="M144" i="1"/>
  <c r="K144" i="1"/>
  <c r="BF143" i="1"/>
  <c r="BE143" i="1"/>
  <c r="BD143" i="1"/>
  <c r="BC143" i="1"/>
  <c r="BB143" i="1"/>
  <c r="BA143" i="1"/>
  <c r="AZ143" i="1"/>
  <c r="AY143" i="1"/>
  <c r="AX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T143" i="1"/>
  <c r="S143" i="1"/>
  <c r="R143" i="1"/>
  <c r="P143" i="1"/>
  <c r="O143" i="1"/>
  <c r="N143" i="1"/>
  <c r="L143" i="1"/>
  <c r="J143" i="1"/>
  <c r="I143" i="1"/>
  <c r="H143" i="1"/>
  <c r="U141" i="1"/>
  <c r="Q141" i="1"/>
  <c r="M141" i="1"/>
  <c r="AF139" i="1"/>
  <c r="U140" i="1"/>
  <c r="BG139" i="1"/>
  <c r="BF139"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E139" i="1"/>
  <c r="AD139" i="1"/>
  <c r="AC139" i="1"/>
  <c r="AB139" i="1"/>
  <c r="AA139" i="1"/>
  <c r="Z139" i="1"/>
  <c r="Y139" i="1"/>
  <c r="X139" i="1"/>
  <c r="T139" i="1"/>
  <c r="S139" i="1"/>
  <c r="R139" i="1"/>
  <c r="P139" i="1"/>
  <c r="O139" i="1"/>
  <c r="N139" i="1"/>
  <c r="L139" i="1"/>
  <c r="J139" i="1"/>
  <c r="I139" i="1"/>
  <c r="H139" i="1"/>
  <c r="F139" i="1"/>
  <c r="G138" i="1"/>
  <c r="E138" i="1" s="1"/>
  <c r="U137" i="1"/>
  <c r="U136" i="1"/>
  <c r="Q136" i="1"/>
  <c r="Q125" i="1" s="1"/>
  <c r="M136" i="1"/>
  <c r="U135" i="1"/>
  <c r="U134" i="1"/>
  <c r="G134" i="1" s="1"/>
  <c r="E134" i="1" s="1"/>
  <c r="U133" i="1"/>
  <c r="U132" i="1"/>
  <c r="G132" i="1" s="1"/>
  <c r="E132" i="1" s="1"/>
  <c r="U131" i="1"/>
  <c r="U130" i="1"/>
  <c r="BG125" i="1"/>
  <c r="BF125" i="1"/>
  <c r="BE125" i="1"/>
  <c r="BD125" i="1"/>
  <c r="BC125" i="1"/>
  <c r="BB125"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T125" i="1"/>
  <c r="S125" i="1"/>
  <c r="R125" i="1"/>
  <c r="P125" i="1"/>
  <c r="O125" i="1"/>
  <c r="N125" i="1"/>
  <c r="L125" i="1"/>
  <c r="K125" i="1"/>
  <c r="J125" i="1"/>
  <c r="I125" i="1"/>
  <c r="H125" i="1"/>
  <c r="F125" i="1"/>
  <c r="U124" i="1"/>
  <c r="Q124" i="1"/>
  <c r="Q123" i="1" s="1"/>
  <c r="M124" i="1"/>
  <c r="G124" i="1" s="1"/>
  <c r="G123" i="1" s="1"/>
  <c r="E123" i="1" s="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T123" i="1"/>
  <c r="S123" i="1"/>
  <c r="R123" i="1"/>
  <c r="P123" i="1"/>
  <c r="O123" i="1"/>
  <c r="N123" i="1"/>
  <c r="L123" i="1"/>
  <c r="K123" i="1"/>
  <c r="J123" i="1"/>
  <c r="I123" i="1"/>
  <c r="H123" i="1"/>
  <c r="F123" i="1"/>
  <c r="U121" i="1"/>
  <c r="G121" i="1" s="1"/>
  <c r="E121" i="1" s="1"/>
  <c r="BG119" i="1"/>
  <c r="BD119" i="1"/>
  <c r="AT119" i="1"/>
  <c r="AF119" i="1"/>
  <c r="X119" i="1"/>
  <c r="W119" i="1"/>
  <c r="V119" i="1"/>
  <c r="L119" i="1"/>
  <c r="K119" i="1"/>
  <c r="I119" i="1"/>
  <c r="BF119" i="1"/>
  <c r="BE119" i="1"/>
  <c r="BC119" i="1"/>
  <c r="BB119" i="1"/>
  <c r="BA119" i="1"/>
  <c r="AZ119" i="1"/>
  <c r="AY119" i="1"/>
  <c r="AX119" i="1"/>
  <c r="AW119" i="1"/>
  <c r="AV119" i="1"/>
  <c r="AU119" i="1"/>
  <c r="AS119" i="1"/>
  <c r="AR119" i="1"/>
  <c r="AQ119" i="1"/>
  <c r="AP119" i="1"/>
  <c r="AO119" i="1"/>
  <c r="AN119" i="1"/>
  <c r="AM119" i="1"/>
  <c r="AL119" i="1"/>
  <c r="AK119" i="1"/>
  <c r="AJ119" i="1"/>
  <c r="AI119" i="1"/>
  <c r="AH119" i="1"/>
  <c r="AG119" i="1"/>
  <c r="AE119" i="1"/>
  <c r="AD119" i="1"/>
  <c r="AC119" i="1"/>
  <c r="AB119" i="1"/>
  <c r="AA119" i="1"/>
  <c r="Z119" i="1"/>
  <c r="Y119" i="1"/>
  <c r="T119" i="1"/>
  <c r="S119" i="1"/>
  <c r="R119" i="1"/>
  <c r="Q119" i="1"/>
  <c r="P119" i="1"/>
  <c r="O119" i="1"/>
  <c r="N119" i="1"/>
  <c r="M119" i="1"/>
  <c r="J119" i="1"/>
  <c r="F119" i="1"/>
  <c r="F118" i="1" s="1"/>
  <c r="U117" i="1"/>
  <c r="G117" i="1" s="1"/>
  <c r="E117" i="1" s="1"/>
  <c r="U116" i="1"/>
  <c r="G116" i="1" s="1"/>
  <c r="E116" i="1" s="1"/>
  <c r="U115" i="1"/>
  <c r="U114" i="1"/>
  <c r="G113" i="1"/>
  <c r="E113" i="1" s="1"/>
  <c r="U112" i="1"/>
  <c r="U111" i="1"/>
  <c r="U110" i="1"/>
  <c r="M110" i="1"/>
  <c r="G110" i="1" s="1"/>
  <c r="E110" i="1" s="1"/>
  <c r="U109" i="1"/>
  <c r="G108" i="1"/>
  <c r="E108" i="1"/>
  <c r="U107" i="1"/>
  <c r="U106" i="1"/>
  <c r="M106" i="1"/>
  <c r="G105" i="1"/>
  <c r="E105" i="1"/>
  <c r="U104" i="1"/>
  <c r="M104" i="1"/>
  <c r="U103" i="1"/>
  <c r="Q103" i="1"/>
  <c r="Q98" i="1" s="1"/>
  <c r="M103" i="1"/>
  <c r="U102" i="1"/>
  <c r="M102" i="1"/>
  <c r="U101" i="1"/>
  <c r="M101" i="1"/>
  <c r="G99" i="1"/>
  <c r="E99" i="1" s="1"/>
  <c r="BG98" i="1"/>
  <c r="BF98" i="1"/>
  <c r="BE98" i="1"/>
  <c r="BD98" i="1"/>
  <c r="BC98" i="1"/>
  <c r="BB98"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T98" i="1"/>
  <c r="S98" i="1"/>
  <c r="R98" i="1"/>
  <c r="P98" i="1"/>
  <c r="O98" i="1"/>
  <c r="N98" i="1"/>
  <c r="L98" i="1"/>
  <c r="K98" i="1"/>
  <c r="J98" i="1"/>
  <c r="I98" i="1"/>
  <c r="H98" i="1"/>
  <c r="F98" i="1"/>
  <c r="U97" i="1"/>
  <c r="U96" i="1"/>
  <c r="Q97" i="1"/>
  <c r="Q96" i="1"/>
  <c r="M97"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T96" i="1"/>
  <c r="S96" i="1"/>
  <c r="R96" i="1"/>
  <c r="P96" i="1"/>
  <c r="O96" i="1"/>
  <c r="N96" i="1"/>
  <c r="L96" i="1"/>
  <c r="K96" i="1"/>
  <c r="J96" i="1"/>
  <c r="I96" i="1"/>
  <c r="H96" i="1"/>
  <c r="F96" i="1"/>
  <c r="G93" i="1"/>
  <c r="E93" i="1"/>
  <c r="G89" i="1"/>
  <c r="E89" i="1" s="1"/>
  <c r="U81" i="1"/>
  <c r="Q81" i="1"/>
  <c r="U80" i="1"/>
  <c r="Q80" i="1"/>
  <c r="M80" i="1"/>
  <c r="U79" i="1"/>
  <c r="Q79" i="1"/>
  <c r="U78" i="1"/>
  <c r="G77" i="1"/>
  <c r="E77" i="1" s="1"/>
  <c r="U76" i="1"/>
  <c r="G76" i="1"/>
  <c r="E76" i="1" s="1"/>
  <c r="U75" i="1"/>
  <c r="Q75" i="1"/>
  <c r="U74" i="1"/>
  <c r="U73" i="1"/>
  <c r="G73" i="1"/>
  <c r="E73" i="1" s="1"/>
  <c r="U72" i="1"/>
  <c r="U71" i="1"/>
  <c r="G71" i="1"/>
  <c r="E71" i="1" s="1"/>
  <c r="U70" i="1"/>
  <c r="U69"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T68" i="1"/>
  <c r="S68" i="1"/>
  <c r="R68" i="1"/>
  <c r="Q68" i="1"/>
  <c r="P68" i="1"/>
  <c r="O68" i="1"/>
  <c r="N68" i="1"/>
  <c r="M68" i="1"/>
  <c r="L68" i="1"/>
  <c r="K68" i="1"/>
  <c r="J68" i="1"/>
  <c r="I68" i="1"/>
  <c r="F67" i="1"/>
  <c r="U64" i="1"/>
  <c r="G63" i="1"/>
  <c r="E63" i="1" s="1"/>
  <c r="U62" i="1"/>
  <c r="G59" i="1"/>
  <c r="E59" i="1" s="1"/>
  <c r="BG41" i="1"/>
  <c r="W41" i="1"/>
  <c r="V41" i="1"/>
  <c r="Q65" i="1"/>
  <c r="Q41" i="1" s="1"/>
  <c r="U129" i="1"/>
  <c r="G129" i="1"/>
  <c r="E129" i="1" s="1"/>
  <c r="U128" i="1"/>
  <c r="Q128" i="1"/>
  <c r="Q126" i="1" s="1"/>
  <c r="U127" i="1"/>
  <c r="G127" i="1" s="1"/>
  <c r="E127" i="1" s="1"/>
  <c r="BG126" i="1"/>
  <c r="BF12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T126" i="1"/>
  <c r="S126" i="1"/>
  <c r="R126" i="1"/>
  <c r="P126" i="1"/>
  <c r="O126" i="1"/>
  <c r="N126" i="1"/>
  <c r="L126" i="1"/>
  <c r="J126" i="1"/>
  <c r="I126" i="1"/>
  <c r="H126" i="1"/>
  <c r="U56" i="1"/>
  <c r="U55"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T53" i="1"/>
  <c r="S53" i="1"/>
  <c r="R53" i="1"/>
  <c r="Q53" i="1"/>
  <c r="P53" i="1"/>
  <c r="O53" i="1"/>
  <c r="N53" i="1"/>
  <c r="M53" i="1"/>
  <c r="L53" i="1"/>
  <c r="K53" i="1"/>
  <c r="J53" i="1"/>
  <c r="I53" i="1"/>
  <c r="H53" i="1"/>
  <c r="F53" i="1"/>
  <c r="U52" i="1"/>
  <c r="U51" i="1"/>
  <c r="U50"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T48" i="1"/>
  <c r="S48" i="1"/>
  <c r="R48" i="1"/>
  <c r="Q48" i="1"/>
  <c r="P48" i="1"/>
  <c r="O48" i="1"/>
  <c r="N48" i="1"/>
  <c r="M48" i="1"/>
  <c r="L48" i="1"/>
  <c r="K48" i="1"/>
  <c r="J48" i="1"/>
  <c r="I48" i="1"/>
  <c r="H48" i="1"/>
  <c r="U47" i="1"/>
  <c r="U46" i="1"/>
  <c r="G46" i="1" s="1"/>
  <c r="E46" i="1" s="1"/>
  <c r="L46" i="1"/>
  <c r="L42" i="1" s="1"/>
  <c r="U45" i="1"/>
  <c r="U44" i="1"/>
  <c r="L44"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T42" i="1"/>
  <c r="S42" i="1"/>
  <c r="R42" i="1"/>
  <c r="Q42" i="1"/>
  <c r="P42" i="1"/>
  <c r="O42" i="1"/>
  <c r="N42" i="1"/>
  <c r="M42" i="1"/>
  <c r="I42" i="1"/>
  <c r="H42"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T41" i="1"/>
  <c r="S41" i="1"/>
  <c r="R41" i="1"/>
  <c r="P41" i="1"/>
  <c r="O41" i="1"/>
  <c r="N41" i="1"/>
  <c r="L41" i="1"/>
  <c r="J41" i="1"/>
  <c r="I41" i="1"/>
  <c r="H41" i="1"/>
  <c r="F41" i="1"/>
  <c r="U40" i="1"/>
  <c r="U39" i="1"/>
  <c r="Q39" i="1"/>
  <c r="M39" i="1"/>
  <c r="M38" i="1" s="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T38" i="1"/>
  <c r="S38" i="1"/>
  <c r="R38" i="1"/>
  <c r="P38" i="1"/>
  <c r="O38" i="1"/>
  <c r="N38" i="1"/>
  <c r="L38" i="1"/>
  <c r="K38" i="1"/>
  <c r="J38" i="1"/>
  <c r="I38" i="1"/>
  <c r="H38" i="1"/>
  <c r="F38" i="1"/>
  <c r="U37" i="1"/>
  <c r="Q37" i="1"/>
  <c r="M37" i="1"/>
  <c r="U36" i="1"/>
  <c r="Q36" i="1"/>
  <c r="M36" i="1"/>
  <c r="Q35" i="1"/>
  <c r="M35" i="1"/>
  <c r="Q34" i="1"/>
  <c r="M34" i="1"/>
  <c r="Q33" i="1"/>
  <c r="M33" i="1"/>
  <c r="Q32" i="1"/>
  <c r="M32" i="1"/>
  <c r="Q31" i="1"/>
  <c r="M31" i="1"/>
  <c r="G31" i="1" s="1"/>
  <c r="E31" i="1" s="1"/>
  <c r="U30" i="1"/>
  <c r="Q30" i="1"/>
  <c r="M30" i="1"/>
  <c r="U29" i="1"/>
  <c r="Q29" i="1"/>
  <c r="M29" i="1"/>
  <c r="Q28" i="1"/>
  <c r="Q19" i="1" s="1"/>
  <c r="M28" i="1"/>
  <c r="G28" i="1" s="1"/>
  <c r="E28" i="1" s="1"/>
  <c r="U27" i="1"/>
  <c r="U26" i="1"/>
  <c r="Q26" i="1"/>
  <c r="M26" i="1"/>
  <c r="U25" i="1"/>
  <c r="Q25" i="1"/>
  <c r="M25" i="1"/>
  <c r="U24" i="1"/>
  <c r="G24" i="1" s="1"/>
  <c r="E24" i="1" s="1"/>
  <c r="Q24" i="1"/>
  <c r="M24" i="1"/>
  <c r="G23" i="1"/>
  <c r="Q22" i="1"/>
  <c r="M22" i="1"/>
  <c r="U21" i="1"/>
  <c r="G21" i="1" s="1"/>
  <c r="U20" i="1"/>
  <c r="Q20" i="1"/>
  <c r="M20"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T19" i="1"/>
  <c r="S19" i="1"/>
  <c r="R19" i="1"/>
  <c r="P19" i="1"/>
  <c r="O19" i="1"/>
  <c r="N19" i="1"/>
  <c r="L19" i="1"/>
  <c r="K19" i="1"/>
  <c r="J19" i="1"/>
  <c r="I19" i="1"/>
  <c r="H19" i="1"/>
  <c r="U18" i="1"/>
  <c r="Q18" i="1"/>
  <c r="M18" i="1"/>
  <c r="U17" i="1"/>
  <c r="Q17" i="1"/>
  <c r="M17" i="1"/>
  <c r="U16" i="1"/>
  <c r="Q16" i="1"/>
  <c r="M16" i="1"/>
  <c r="G16" i="1" s="1"/>
  <c r="E16" i="1" s="1"/>
  <c r="U15" i="1"/>
  <c r="Q15" i="1"/>
  <c r="M15" i="1"/>
  <c r="U14" i="1"/>
  <c r="Q14" i="1"/>
  <c r="M14" i="1"/>
  <c r="U13" i="1"/>
  <c r="Q13" i="1"/>
  <c r="M13" i="1"/>
  <c r="U12" i="1"/>
  <c r="Q12" i="1"/>
  <c r="M12" i="1"/>
  <c r="U11" i="1"/>
  <c r="Q11" i="1"/>
  <c r="M11" i="1"/>
  <c r="U10" i="1"/>
  <c r="U7" i="1" s="1"/>
  <c r="Q10" i="1"/>
  <c r="M10" i="1"/>
  <c r="U9" i="1"/>
  <c r="Q9" i="1"/>
  <c r="M9" i="1"/>
  <c r="Q8" i="1"/>
  <c r="M8"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T7" i="1"/>
  <c r="S7" i="1"/>
  <c r="R7" i="1"/>
  <c r="P7" i="1"/>
  <c r="O7" i="1"/>
  <c r="N7" i="1"/>
  <c r="L7" i="1"/>
  <c r="K7" i="1"/>
  <c r="J7" i="1"/>
  <c r="I7" i="1"/>
  <c r="H7" i="1"/>
  <c r="F7" i="1"/>
  <c r="G375" i="1"/>
  <c r="E375" i="1" s="1"/>
  <c r="G376" i="1"/>
  <c r="E376" i="1"/>
  <c r="I377" i="1"/>
  <c r="I371" i="1" s="1"/>
  <c r="I370" i="1" s="1"/>
  <c r="G372" i="1"/>
  <c r="E372" i="1"/>
  <c r="G342" i="1"/>
  <c r="E432" i="1"/>
  <c r="U421" i="1"/>
  <c r="G374" i="1"/>
  <c r="E374" i="1"/>
  <c r="G373" i="1"/>
  <c r="E373" i="1" s="1"/>
  <c r="G69" i="1"/>
  <c r="E69" i="1" s="1"/>
  <c r="G140" i="1"/>
  <c r="E140" i="1" s="1"/>
  <c r="G267" i="1"/>
  <c r="E267" i="1" s="1"/>
  <c r="G281" i="1"/>
  <c r="E281" i="1"/>
  <c r="G222" i="1"/>
  <c r="E222" i="1" s="1"/>
  <c r="G347" i="1"/>
  <c r="E347" i="1"/>
  <c r="G462" i="1"/>
  <c r="E462" i="1" s="1"/>
  <c r="G475" i="1"/>
  <c r="E475" i="1"/>
  <c r="G135" i="1"/>
  <c r="E135" i="1"/>
  <c r="G280" i="1"/>
  <c r="E280" i="1" s="1"/>
  <c r="Q257" i="1"/>
  <c r="G264" i="1"/>
  <c r="E264" i="1" s="1"/>
  <c r="G327" i="1"/>
  <c r="E327" i="1" s="1"/>
  <c r="G404" i="1"/>
  <c r="E404" i="1"/>
  <c r="G506" i="1"/>
  <c r="E506" i="1"/>
  <c r="G508" i="1"/>
  <c r="E508" i="1" s="1"/>
  <c r="G92" i="1"/>
  <c r="E92" i="1" s="1"/>
  <c r="G158" i="1"/>
  <c r="E158" i="1"/>
  <c r="U338" i="1"/>
  <c r="G353" i="1"/>
  <c r="E353" i="1" s="1"/>
  <c r="G400" i="1"/>
  <c r="E400" i="1"/>
  <c r="U444" i="1"/>
  <c r="G468" i="1"/>
  <c r="E468" i="1"/>
  <c r="G478" i="1"/>
  <c r="E478" i="1"/>
  <c r="G503" i="1"/>
  <c r="E503" i="1" s="1"/>
  <c r="G17" i="1"/>
  <c r="E17" i="1" s="1"/>
  <c r="G20" i="1"/>
  <c r="E20" i="1"/>
  <c r="G407" i="1"/>
  <c r="E407" i="1"/>
  <c r="G80" i="1"/>
  <c r="E80" i="1" s="1"/>
  <c r="G87" i="1"/>
  <c r="E87" i="1" s="1"/>
  <c r="E191" i="1"/>
  <c r="G202" i="1"/>
  <c r="E202" i="1" s="1"/>
  <c r="G231" i="1"/>
  <c r="E231" i="1"/>
  <c r="G285" i="1"/>
  <c r="E285" i="1"/>
  <c r="G292" i="1"/>
  <c r="E292" i="1" s="1"/>
  <c r="G326" i="1"/>
  <c r="E326" i="1"/>
  <c r="G315" i="1"/>
  <c r="E315" i="1" s="1"/>
  <c r="Q325" i="1"/>
  <c r="G390" i="1"/>
  <c r="E390" i="1"/>
  <c r="G392" i="1"/>
  <c r="E392" i="1"/>
  <c r="G395" i="1"/>
  <c r="E395" i="1"/>
  <c r="G486" i="1"/>
  <c r="E486" i="1" s="1"/>
  <c r="G50" i="1"/>
  <c r="E50" i="1"/>
  <c r="AM67" i="1"/>
  <c r="X67" i="1"/>
  <c r="T67" i="1"/>
  <c r="E210" i="1"/>
  <c r="G259" i="1"/>
  <c r="E259" i="1" s="1"/>
  <c r="G339" i="1"/>
  <c r="G338" i="1"/>
  <c r="G494" i="1"/>
  <c r="E494" i="1"/>
  <c r="Q470" i="1"/>
  <c r="G505" i="1"/>
  <c r="E505" i="1"/>
  <c r="E122" i="1"/>
  <c r="G137" i="1"/>
  <c r="E137" i="1"/>
  <c r="G29" i="1"/>
  <c r="E29" i="1" s="1"/>
  <c r="G12" i="1"/>
  <c r="E12" i="1" s="1"/>
  <c r="G61" i="1"/>
  <c r="E61" i="1"/>
  <c r="G106" i="1"/>
  <c r="E106" i="1"/>
  <c r="G114" i="1"/>
  <c r="E114" i="1" s="1"/>
  <c r="G274" i="1"/>
  <c r="E274" i="1"/>
  <c r="G308" i="1"/>
  <c r="E308" i="1"/>
  <c r="G393" i="1"/>
  <c r="E393" i="1" s="1"/>
  <c r="U399" i="1"/>
  <c r="G497" i="1"/>
  <c r="E497" i="1" s="1"/>
  <c r="G500" i="1"/>
  <c r="E500" i="1"/>
  <c r="AV67" i="1"/>
  <c r="W67" i="1"/>
  <c r="AE67" i="1"/>
  <c r="BC67" i="1"/>
  <c r="AZ67" i="1"/>
  <c r="AN67" i="1"/>
  <c r="AA67" i="1"/>
  <c r="AI67" i="1"/>
  <c r="AQ67" i="1"/>
  <c r="AY67" i="1"/>
  <c r="BG67" i="1"/>
  <c r="J67" i="1"/>
  <c r="AT67" i="1"/>
  <c r="U58" i="1"/>
  <c r="G34" i="1"/>
  <c r="E34" i="1"/>
  <c r="O67" i="1"/>
  <c r="F370" i="1"/>
  <c r="V67" i="1"/>
  <c r="M154" i="1"/>
  <c r="G40" i="1"/>
  <c r="E40" i="1"/>
  <c r="M41" i="1"/>
  <c r="R67" i="1"/>
  <c r="Z67" i="1"/>
  <c r="AH67" i="1"/>
  <c r="AP67" i="1"/>
  <c r="AX67" i="1"/>
  <c r="BF67" i="1"/>
  <c r="N67" i="1"/>
  <c r="AU67" i="1"/>
  <c r="S67" i="1"/>
  <c r="Q139" i="1"/>
  <c r="G27" i="1"/>
  <c r="E27" i="1" s="1"/>
  <c r="G35" i="1"/>
  <c r="E35" i="1" s="1"/>
  <c r="G37" i="1"/>
  <c r="E37" i="1"/>
  <c r="G78" i="1"/>
  <c r="E78" i="1" s="1"/>
  <c r="L67" i="1"/>
  <c r="AB67" i="1"/>
  <c r="AJ67" i="1"/>
  <c r="P67" i="1"/>
  <c r="AD67" i="1"/>
  <c r="G86" i="1"/>
  <c r="E86" i="1"/>
  <c r="AF67" i="1"/>
  <c r="G131" i="1"/>
  <c r="E131" i="1"/>
  <c r="G396" i="1"/>
  <c r="E396" i="1"/>
  <c r="G455" i="1"/>
  <c r="E455" i="1" s="1"/>
  <c r="G498" i="1"/>
  <c r="E498" i="1" s="1"/>
  <c r="I516" i="1"/>
  <c r="U42" i="1"/>
  <c r="AL67" i="1"/>
  <c r="BB67" i="1"/>
  <c r="G171" i="1"/>
  <c r="E171" i="1"/>
  <c r="G296" i="1"/>
  <c r="E296" i="1" s="1"/>
  <c r="G32" i="1"/>
  <c r="E32" i="1"/>
  <c r="U38" i="1"/>
  <c r="G9" i="1"/>
  <c r="E9" i="1"/>
  <c r="G11" i="1"/>
  <c r="E11" i="1"/>
  <c r="G30" i="1"/>
  <c r="E30" i="1" s="1"/>
  <c r="K41" i="1"/>
  <c r="M126" i="1"/>
  <c r="Y67" i="1"/>
  <c r="AG67" i="1"/>
  <c r="AO67" i="1"/>
  <c r="AW67" i="1"/>
  <c r="BE67" i="1"/>
  <c r="V154" i="1"/>
  <c r="G196" i="1"/>
  <c r="E196" i="1" s="1"/>
  <c r="G289" i="1"/>
  <c r="E289" i="1" s="1"/>
  <c r="L257" i="1"/>
  <c r="G329" i="1"/>
  <c r="E329" i="1"/>
  <c r="M325" i="1"/>
  <c r="G536" i="1"/>
  <c r="E536" i="1"/>
  <c r="G193" i="1"/>
  <c r="E193" i="1" s="1"/>
  <c r="G428" i="1"/>
  <c r="E428" i="1"/>
  <c r="G47" i="1"/>
  <c r="E47" i="1" s="1"/>
  <c r="BD67" i="1"/>
  <c r="AR67" i="1"/>
  <c r="G203" i="1"/>
  <c r="E203" i="1"/>
  <c r="H67" i="1"/>
  <c r="G148" i="1"/>
  <c r="E148" i="1"/>
  <c r="Q217" i="1"/>
  <c r="G33" i="1"/>
  <c r="E33" i="1"/>
  <c r="G8" i="1"/>
  <c r="E8" i="1"/>
  <c r="G14" i="1"/>
  <c r="E14" i="1"/>
  <c r="G26" i="1"/>
  <c r="E26" i="1" s="1"/>
  <c r="G36" i="1"/>
  <c r="E36" i="1" s="1"/>
  <c r="G45" i="1"/>
  <c r="E45" i="1"/>
  <c r="G51" i="1"/>
  <c r="E51" i="1"/>
  <c r="G74" i="1"/>
  <c r="E74" i="1" s="1"/>
  <c r="G109" i="1"/>
  <c r="E109" i="1" s="1"/>
  <c r="G214" i="1"/>
  <c r="E214" i="1" s="1"/>
  <c r="G291" i="1"/>
  <c r="E291" i="1" s="1"/>
  <c r="G431" i="1"/>
  <c r="E431" i="1"/>
  <c r="G167" i="1"/>
  <c r="E167" i="1" s="1"/>
  <c r="G261" i="1"/>
  <c r="E261" i="1" s="1"/>
  <c r="G39" i="1"/>
  <c r="G65" i="1"/>
  <c r="E65" i="1" s="1"/>
  <c r="G85" i="1"/>
  <c r="E85" i="1"/>
  <c r="AC67" i="1"/>
  <c r="AK67" i="1"/>
  <c r="AS67" i="1"/>
  <c r="BA67" i="1"/>
  <c r="G103" i="1"/>
  <c r="E103" i="1" s="1"/>
  <c r="G322" i="1"/>
  <c r="E322" i="1" s="1"/>
  <c r="U450" i="1"/>
  <c r="V450" i="1"/>
  <c r="G484" i="1"/>
  <c r="E484" i="1"/>
  <c r="V139" i="1"/>
  <c r="G199" i="1"/>
  <c r="E199" i="1" s="1"/>
  <c r="U371" i="1"/>
  <c r="G472" i="1"/>
  <c r="E472" i="1" s="1"/>
  <c r="G501" i="1"/>
  <c r="E501" i="1"/>
  <c r="G159" i="1"/>
  <c r="E159" i="1"/>
  <c r="E154" i="1" s="1"/>
  <c r="G185" i="1"/>
  <c r="E185" i="1" s="1"/>
  <c r="G272" i="1"/>
  <c r="E272" i="1" s="1"/>
  <c r="G277" i="1"/>
  <c r="E277" i="1"/>
  <c r="M290" i="1"/>
  <c r="G306" i="1"/>
  <c r="E306" i="1" s="1"/>
  <c r="G391" i="1"/>
  <c r="E391" i="1"/>
  <c r="U440" i="1"/>
  <c r="G440" i="1" s="1"/>
  <c r="E440" i="1" s="1"/>
  <c r="M502" i="1"/>
  <c r="G157" i="1"/>
  <c r="E157" i="1" s="1"/>
  <c r="G169" i="1"/>
  <c r="E169" i="1"/>
  <c r="E213" i="1"/>
  <c r="U340" i="1"/>
  <c r="G397" i="1"/>
  <c r="E397" i="1" s="1"/>
  <c r="Q450" i="1"/>
  <c r="G453" i="1"/>
  <c r="E453" i="1" s="1"/>
  <c r="M470" i="1"/>
  <c r="G507" i="1"/>
  <c r="E507" i="1" s="1"/>
  <c r="G512" i="1"/>
  <c r="G183" i="1"/>
  <c r="E183" i="1"/>
  <c r="G200" i="1"/>
  <c r="E200" i="1" s="1"/>
  <c r="G205" i="1"/>
  <c r="E205" i="1" s="1"/>
  <c r="G336" i="1"/>
  <c r="E336" i="1"/>
  <c r="G368" i="1"/>
  <c r="E368" i="1"/>
  <c r="G379" i="1"/>
  <c r="E379" i="1" s="1"/>
  <c r="G406" i="1"/>
  <c r="E406" i="1" s="1"/>
  <c r="G464" i="1"/>
  <c r="E464" i="1"/>
  <c r="G515" i="1"/>
  <c r="G115" i="1"/>
  <c r="E115" i="1" s="1"/>
  <c r="G172" i="1"/>
  <c r="E172" i="1" s="1"/>
  <c r="G211" i="1"/>
  <c r="E211" i="1" s="1"/>
  <c r="G218" i="1"/>
  <c r="E218" i="1" s="1"/>
  <c r="G303" i="1"/>
  <c r="E303" i="1"/>
  <c r="G422" i="1"/>
  <c r="E422" i="1" s="1"/>
  <c r="G22" i="1"/>
  <c r="E22" i="1" s="1"/>
  <c r="G13" i="1"/>
  <c r="E13" i="1" s="1"/>
  <c r="G64" i="1"/>
  <c r="E64" i="1"/>
  <c r="U181" i="1"/>
  <c r="V180" i="1"/>
  <c r="G15" i="1"/>
  <c r="E15" i="1" s="1"/>
  <c r="G44" i="1"/>
  <c r="E44" i="1" s="1"/>
  <c r="G62" i="1"/>
  <c r="E62" i="1" s="1"/>
  <c r="I67" i="1"/>
  <c r="G72" i="1"/>
  <c r="E72" i="1" s="1"/>
  <c r="G100" i="1"/>
  <c r="G55" i="1"/>
  <c r="G128" i="1"/>
  <c r="E128" i="1" s="1"/>
  <c r="U68" i="1"/>
  <c r="G95" i="1"/>
  <c r="E95" i="1" s="1"/>
  <c r="Q38" i="1"/>
  <c r="G82" i="1"/>
  <c r="E82" i="1" s="1"/>
  <c r="G70" i="1"/>
  <c r="E70" i="1"/>
  <c r="K67" i="1"/>
  <c r="K139" i="1"/>
  <c r="M7" i="1"/>
  <c r="G81" i="1"/>
  <c r="E81" i="1"/>
  <c r="G104" i="1"/>
  <c r="E104" i="1" s="1"/>
  <c r="G107" i="1"/>
  <c r="E107" i="1"/>
  <c r="U123" i="1"/>
  <c r="E142" i="1"/>
  <c r="G88" i="1"/>
  <c r="E88" i="1" s="1"/>
  <c r="G111" i="1"/>
  <c r="E111" i="1" s="1"/>
  <c r="G273" i="1"/>
  <c r="E273" i="1"/>
  <c r="G192" i="1"/>
  <c r="G220" i="1"/>
  <c r="E220" i="1"/>
  <c r="G176" i="1"/>
  <c r="E176" i="1"/>
  <c r="G178" i="1"/>
  <c r="E178" i="1" s="1"/>
  <c r="G187" i="1"/>
  <c r="E187" i="1" s="1"/>
  <c r="G204" i="1"/>
  <c r="E204" i="1" s="1"/>
  <c r="E258" i="1"/>
  <c r="K143" i="1"/>
  <c r="G287" i="1"/>
  <c r="E287" i="1" s="1"/>
  <c r="M96" i="1"/>
  <c r="G112" i="1"/>
  <c r="E112" i="1"/>
  <c r="U125" i="1"/>
  <c r="G133" i="1"/>
  <c r="E133" i="1"/>
  <c r="G216" i="1"/>
  <c r="E216" i="1" s="1"/>
  <c r="G225" i="1"/>
  <c r="E225" i="1" s="1"/>
  <c r="G260" i="1"/>
  <c r="E260" i="1" s="1"/>
  <c r="M257" i="1"/>
  <c r="G97" i="1"/>
  <c r="G101" i="1"/>
  <c r="E101" i="1"/>
  <c r="G130" i="1"/>
  <c r="M143" i="1"/>
  <c r="G145" i="1"/>
  <c r="E145" i="1" s="1"/>
  <c r="M188" i="1"/>
  <c r="G265" i="1"/>
  <c r="E265" i="1" s="1"/>
  <c r="V161" i="1"/>
  <c r="G168" i="1"/>
  <c r="E168" i="1"/>
  <c r="G175" i="1"/>
  <c r="E175" i="1" s="1"/>
  <c r="G283" i="1"/>
  <c r="E283" i="1" s="1"/>
  <c r="H257" i="1"/>
  <c r="G164" i="1"/>
  <c r="G197" i="1"/>
  <c r="E197" i="1" s="1"/>
  <c r="G208" i="1"/>
  <c r="E208" i="1" s="1"/>
  <c r="G263" i="1"/>
  <c r="E263" i="1"/>
  <c r="G276" i="1"/>
  <c r="E276" i="1" s="1"/>
  <c r="G282" i="1"/>
  <c r="E282" i="1" s="1"/>
  <c r="G286" i="1"/>
  <c r="E286" i="1"/>
  <c r="G293" i="1"/>
  <c r="E293" i="1" s="1"/>
  <c r="G295" i="1"/>
  <c r="E295" i="1" s="1"/>
  <c r="M298" i="1"/>
  <c r="G471" i="1"/>
  <c r="G470" i="1" s="1"/>
  <c r="E470" i="1" s="1"/>
  <c r="U470" i="1"/>
  <c r="G194" i="1"/>
  <c r="G201" i="1"/>
  <c r="E201" i="1" s="1"/>
  <c r="G227" i="1"/>
  <c r="E227" i="1"/>
  <c r="U257" i="1"/>
  <c r="G262" i="1"/>
  <c r="E262" i="1"/>
  <c r="G271" i="1"/>
  <c r="E271" i="1"/>
  <c r="G275" i="1"/>
  <c r="E275" i="1" s="1"/>
  <c r="G279" i="1"/>
  <c r="E279" i="1" s="1"/>
  <c r="G299" i="1"/>
  <c r="H302" i="1"/>
  <c r="G309" i="1"/>
  <c r="E309" i="1" s="1"/>
  <c r="G312" i="1"/>
  <c r="E312" i="1" s="1"/>
  <c r="G314" i="1"/>
  <c r="E314" i="1" s="1"/>
  <c r="E316" i="1"/>
  <c r="G423" i="1"/>
  <c r="E423" i="1" s="1"/>
  <c r="Q188" i="1"/>
  <c r="V257" i="1"/>
  <c r="I302" i="1"/>
  <c r="U310" i="1"/>
  <c r="G310" i="1" s="1"/>
  <c r="E310" i="1" s="1"/>
  <c r="E452" i="1"/>
  <c r="G387" i="1"/>
  <c r="E387" i="1"/>
  <c r="E520" i="1"/>
  <c r="G516" i="1"/>
  <c r="E516" i="1"/>
  <c r="G330" i="1"/>
  <c r="E330" i="1" s="1"/>
  <c r="E523" i="1"/>
  <c r="G361" i="1"/>
  <c r="M360" i="1"/>
  <c r="G538" i="1"/>
  <c r="E539" i="1"/>
  <c r="E538" i="1" s="1"/>
  <c r="G408" i="1"/>
  <c r="E408" i="1" s="1"/>
  <c r="G413" i="1"/>
  <c r="G415" i="1"/>
  <c r="E415" i="1"/>
  <c r="G437" i="1"/>
  <c r="E437" i="1" s="1"/>
  <c r="G447" i="1"/>
  <c r="G480" i="1"/>
  <c r="E480" i="1" s="1"/>
  <c r="G496" i="1"/>
  <c r="E496" i="1" s="1"/>
  <c r="U538" i="1"/>
  <c r="G385" i="1"/>
  <c r="E385" i="1" s="1"/>
  <c r="G388" i="1"/>
  <c r="E388" i="1"/>
  <c r="G430" i="1"/>
  <c r="E430" i="1"/>
  <c r="G436" i="1"/>
  <c r="E436" i="1"/>
  <c r="G439" i="1"/>
  <c r="E439" i="1" s="1"/>
  <c r="G442" i="1"/>
  <c r="E442" i="1" s="1"/>
  <c r="M444" i="1"/>
  <c r="G365" i="1"/>
  <c r="E365" i="1" s="1"/>
  <c r="G367" i="1"/>
  <c r="E367" i="1" s="1"/>
  <c r="G369" i="1"/>
  <c r="E369" i="1" s="1"/>
  <c r="G384" i="1"/>
  <c r="E384" i="1" s="1"/>
  <c r="G457" i="1"/>
  <c r="E457" i="1" s="1"/>
  <c r="G380" i="1"/>
  <c r="E380" i="1" s="1"/>
  <c r="G459" i="1"/>
  <c r="E459" i="1"/>
  <c r="G461" i="1"/>
  <c r="E461" i="1"/>
  <c r="G463" i="1"/>
  <c r="E463" i="1"/>
  <c r="G465" i="1"/>
  <c r="E465" i="1" s="1"/>
  <c r="G467" i="1"/>
  <c r="E467" i="1"/>
  <c r="G483" i="1"/>
  <c r="E483" i="1"/>
  <c r="G495" i="1"/>
  <c r="E495" i="1"/>
  <c r="G509" i="1"/>
  <c r="E509" i="1" s="1"/>
  <c r="U522" i="1"/>
  <c r="G427" i="1"/>
  <c r="E427" i="1" s="1"/>
  <c r="G435" i="1"/>
  <c r="E435" i="1" s="1"/>
  <c r="V470" i="1"/>
  <c r="G409" i="1"/>
  <c r="E409" i="1" s="1"/>
  <c r="G417" i="1"/>
  <c r="E417" i="1"/>
  <c r="G419" i="1"/>
  <c r="E419" i="1"/>
  <c r="G433" i="1"/>
  <c r="E433" i="1"/>
  <c r="G441" i="1"/>
  <c r="E441" i="1" s="1"/>
  <c r="G443" i="1"/>
  <c r="E443" i="1"/>
  <c r="G448" i="1"/>
  <c r="G444" i="1" s="1"/>
  <c r="E444" i="1" s="1"/>
  <c r="E448" i="1"/>
  <c r="U502" i="1"/>
  <c r="G525" i="1"/>
  <c r="E525" i="1" s="1"/>
  <c r="G527" i="1"/>
  <c r="E527" i="1" s="1"/>
  <c r="G529" i="1"/>
  <c r="E529" i="1" s="1"/>
  <c r="G531" i="1"/>
  <c r="E531" i="1" s="1"/>
  <c r="G533" i="1"/>
  <c r="E533" i="1" s="1"/>
  <c r="G535" i="1"/>
  <c r="E535" i="1" s="1"/>
  <c r="G537" i="1"/>
  <c r="E537" i="1" s="1"/>
  <c r="E342" i="1"/>
  <c r="G340" i="1"/>
  <c r="E340" i="1"/>
  <c r="G58" i="1"/>
  <c r="E58" i="1" s="1"/>
  <c r="U154" i="1"/>
  <c r="G364" i="1"/>
  <c r="E364" i="1" s="1"/>
  <c r="G343" i="1"/>
  <c r="E343" i="1" s="1"/>
  <c r="G38" i="1"/>
  <c r="E38" i="1" s="1"/>
  <c r="E39" i="1"/>
  <c r="E339" i="1"/>
  <c r="E338" i="1" s="1"/>
  <c r="U41" i="1"/>
  <c r="G377" i="1"/>
  <c r="E377" i="1" s="1"/>
  <c r="G399" i="1"/>
  <c r="E399" i="1"/>
  <c r="G421" i="1"/>
  <c r="E421" i="1"/>
  <c r="G91" i="1"/>
  <c r="E91" i="1" s="1"/>
  <c r="G90" i="1"/>
  <c r="E90" i="1"/>
  <c r="G84" i="1"/>
  <c r="E84" i="1"/>
  <c r="G42" i="1"/>
  <c r="E42" i="1" s="1"/>
  <c r="U67" i="1"/>
  <c r="E512" i="1"/>
  <c r="G511" i="1"/>
  <c r="E511" i="1" s="1"/>
  <c r="G451" i="1"/>
  <c r="E451" i="1"/>
  <c r="E515" i="1"/>
  <c r="G514" i="1"/>
  <c r="E514" i="1" s="1"/>
  <c r="G83" i="1"/>
  <c r="E83" i="1"/>
  <c r="G94" i="1"/>
  <c r="E94" i="1"/>
  <c r="G416" i="1"/>
  <c r="E413" i="1"/>
  <c r="E416" i="1" s="1"/>
  <c r="E164" i="1"/>
  <c r="H154" i="1"/>
  <c r="G96" i="1"/>
  <c r="E97" i="1"/>
  <c r="E96" i="1" s="1"/>
  <c r="M67" i="1"/>
  <c r="E55" i="1"/>
  <c r="E299" i="1"/>
  <c r="E471" i="1"/>
  <c r="G181" i="1"/>
  <c r="E389" i="1"/>
  <c r="E447" i="1"/>
  <c r="G68" i="1"/>
  <c r="E68" i="1"/>
  <c r="E100" i="1"/>
  <c r="E361" i="1"/>
  <c r="E130" i="1"/>
  <c r="G160" i="1"/>
  <c r="E160" i="1" s="1"/>
  <c r="G154" i="1"/>
  <c r="BG381" i="1"/>
  <c r="BG370" i="1" s="1"/>
  <c r="AF381" i="1"/>
  <c r="AF370" i="1"/>
  <c r="AH381" i="1"/>
  <c r="AH370" i="1"/>
  <c r="X381" i="1"/>
  <c r="X370" i="1"/>
  <c r="I381" i="1"/>
  <c r="Z381" i="1"/>
  <c r="Z370" i="1"/>
  <c r="BA381" i="1"/>
  <c r="BA370" i="1"/>
  <c r="AM381" i="1"/>
  <c r="AM370" i="1"/>
  <c r="AA381" i="1"/>
  <c r="AA370" i="1" s="1"/>
  <c r="AS381" i="1"/>
  <c r="AS370" i="1"/>
  <c r="K381" i="1"/>
  <c r="K370" i="1"/>
  <c r="AC381" i="1"/>
  <c r="AC370" i="1"/>
  <c r="N381" i="1"/>
  <c r="N370" i="1" s="1"/>
  <c r="J381" i="1"/>
  <c r="J370" i="1"/>
  <c r="AL381" i="1"/>
  <c r="AL370" i="1"/>
  <c r="BD381" i="1"/>
  <c r="BD370" i="1"/>
  <c r="BC381" i="1"/>
  <c r="BC370" i="1" s="1"/>
  <c r="AW381" i="1"/>
  <c r="AW370" i="1"/>
  <c r="AT381" i="1"/>
  <c r="AT370" i="1"/>
  <c r="AY381" i="1"/>
  <c r="AY370" i="1"/>
  <c r="S381" i="1"/>
  <c r="S370" i="1"/>
  <c r="W381" i="1"/>
  <c r="W370" i="1"/>
  <c r="AE381" i="1"/>
  <c r="AE370" i="1"/>
  <c r="AJ381" i="1"/>
  <c r="AJ370" i="1" s="1"/>
  <c r="BE381" i="1"/>
  <c r="BE370" i="1"/>
  <c r="AI381" i="1"/>
  <c r="AI370" i="1"/>
  <c r="AO381" i="1"/>
  <c r="AO370" i="1"/>
  <c r="BF381" i="1"/>
  <c r="BF370" i="1" s="1"/>
  <c r="P381" i="1"/>
  <c r="P370" i="1"/>
  <c r="AX381" i="1"/>
  <c r="AX370" i="1"/>
  <c r="O381" i="1"/>
  <c r="O370" i="1"/>
  <c r="V381" i="1"/>
  <c r="V370" i="1" s="1"/>
  <c r="Y381" i="1"/>
  <c r="Y370" i="1"/>
  <c r="M381" i="1"/>
  <c r="M370" i="1"/>
  <c r="AV381" i="1"/>
  <c r="AV370" i="1"/>
  <c r="AU381" i="1"/>
  <c r="AU370" i="1" s="1"/>
  <c r="AK381" i="1"/>
  <c r="AK370" i="1"/>
  <c r="AG381" i="1"/>
  <c r="AG370" i="1"/>
  <c r="AD381" i="1"/>
  <c r="AD370" i="1"/>
  <c r="L381" i="1"/>
  <c r="L370" i="1" s="1"/>
  <c r="AB381" i="1"/>
  <c r="AB370" i="1"/>
  <c r="T381" i="1"/>
  <c r="T370" i="1"/>
  <c r="Q381" i="1"/>
  <c r="Q370" i="1"/>
  <c r="AN381" i="1"/>
  <c r="AN370" i="1" s="1"/>
  <c r="AZ381" i="1"/>
  <c r="AZ370" i="1"/>
  <c r="AP381" i="1"/>
  <c r="AP370" i="1"/>
  <c r="BB381" i="1"/>
  <c r="BB370" i="1"/>
  <c r="R381" i="1"/>
  <c r="R370" i="1" s="1"/>
  <c r="AQ381" i="1"/>
  <c r="AQ370" i="1"/>
  <c r="AR381" i="1"/>
  <c r="AR370" i="1"/>
  <c r="H370" i="1"/>
  <c r="G257" i="1" l="1"/>
  <c r="E257" i="1" s="1"/>
  <c r="G188" i="1"/>
  <c r="E188" i="1" s="1"/>
  <c r="E21" i="1"/>
  <c r="W143" i="1"/>
  <c r="W139" i="1"/>
  <c r="U146" i="1"/>
  <c r="E181" i="1"/>
  <c r="G450" i="1"/>
  <c r="E450" i="1" s="1"/>
  <c r="G298" i="1"/>
  <c r="G502" i="1"/>
  <c r="E502" i="1" s="1"/>
  <c r="E124" i="1"/>
  <c r="G362" i="1"/>
  <c r="E194" i="1"/>
  <c r="U217" i="1"/>
  <c r="U298" i="1"/>
  <c r="M161" i="1"/>
  <c r="G56" i="1"/>
  <c r="U53" i="1"/>
  <c r="M98" i="1"/>
  <c r="M139" i="1"/>
  <c r="G147" i="1"/>
  <c r="E147" i="1" s="1"/>
  <c r="G177" i="1"/>
  <c r="E177" i="1" s="1"/>
  <c r="U98" i="1"/>
  <c r="U394" i="1"/>
  <c r="G398" i="1"/>
  <c r="E398" i="1" s="1"/>
  <c r="G102" i="1"/>
  <c r="U48" i="1"/>
  <c r="G52" i="1"/>
  <c r="G79" i="1"/>
  <c r="E79" i="1" s="1"/>
  <c r="M125" i="1"/>
  <c r="G136" i="1"/>
  <c r="G320" i="1"/>
  <c r="E320" i="1" s="1"/>
  <c r="G383" i="1"/>
  <c r="E383" i="1" s="1"/>
  <c r="G522" i="1"/>
  <c r="E522" i="1" s="1"/>
  <c r="G165" i="1"/>
  <c r="U161" i="1"/>
  <c r="G371" i="1"/>
  <c r="G325" i="1"/>
  <c r="E325" i="1" s="1"/>
  <c r="U126" i="1"/>
  <c r="G126" i="1" s="1"/>
  <c r="E126" i="1" s="1"/>
  <c r="M19" i="1"/>
  <c r="G25" i="1"/>
  <c r="E25" i="1" s="1"/>
  <c r="Q67" i="1"/>
  <c r="G75" i="1"/>
  <c r="G290" i="1"/>
  <c r="E290" i="1" s="1"/>
  <c r="G141" i="1"/>
  <c r="U139" i="1"/>
  <c r="Q7" i="1"/>
  <c r="G10" i="1"/>
  <c r="G18" i="1"/>
  <c r="E18" i="1" s="1"/>
  <c r="U19" i="1"/>
  <c r="U188" i="1"/>
  <c r="G331" i="1"/>
  <c r="E331" i="1" s="1"/>
  <c r="U325" i="1"/>
  <c r="V360" i="1"/>
  <c r="F298" i="1"/>
  <c r="E298" i="1" s="1"/>
  <c r="G304" i="1"/>
  <c r="M123" i="1"/>
  <c r="M180" i="1"/>
  <c r="G186" i="1"/>
  <c r="E186" i="1" s="1"/>
  <c r="M302" i="1"/>
  <c r="G307" i="1"/>
  <c r="E307" i="1" s="1"/>
  <c r="G217" i="1"/>
  <c r="E217" i="1" s="1"/>
  <c r="G119" i="1"/>
  <c r="E119" i="1" s="1"/>
  <c r="U412" i="1"/>
  <c r="G412" i="1" s="1"/>
  <c r="E412" i="1" s="1"/>
  <c r="A159" i="1"/>
  <c r="A160" i="1"/>
  <c r="A162" i="1" s="1"/>
  <c r="A163" i="1" s="1"/>
  <c r="A164" i="1" s="1"/>
  <c r="A165" i="1" s="1"/>
  <c r="A166" i="1" s="1"/>
  <c r="A167" i="1" s="1"/>
  <c r="A168" i="1" s="1"/>
  <c r="A169" i="1" s="1"/>
  <c r="A170" i="1" s="1"/>
  <c r="U119" i="1"/>
  <c r="G146" i="1" l="1"/>
  <c r="E146" i="1" s="1"/>
  <c r="U143" i="1"/>
  <c r="G143" i="1" s="1"/>
  <c r="E143" i="1" s="1"/>
  <c r="G139" i="1"/>
  <c r="E141" i="1"/>
  <c r="E139" i="1" s="1"/>
  <c r="E371" i="1"/>
  <c r="E102" i="1"/>
  <c r="G98" i="1"/>
  <c r="E98" i="1" s="1"/>
  <c r="E75" i="1"/>
  <c r="G67" i="1"/>
  <c r="E67" i="1" s="1"/>
  <c r="E56" i="1"/>
  <c r="G53" i="1"/>
  <c r="E53" i="1" s="1"/>
  <c r="G180" i="1"/>
  <c r="E180" i="1" s="1"/>
  <c r="E136" i="1"/>
  <c r="G125" i="1"/>
  <c r="E125" i="1" s="1"/>
  <c r="E52" i="1"/>
  <c r="G41" i="1"/>
  <c r="E41" i="1" s="1"/>
  <c r="G48" i="1"/>
  <c r="E48" i="1" s="1"/>
  <c r="G360" i="1"/>
  <c r="E360" i="1" s="1"/>
  <c r="E362" i="1"/>
  <c r="E165" i="1"/>
  <c r="G161" i="1"/>
  <c r="E161" i="1" s="1"/>
  <c r="E304" i="1"/>
  <c r="G302" i="1"/>
  <c r="E302" i="1" s="1"/>
  <c r="E10" i="1"/>
  <c r="G7" i="1"/>
  <c r="E7" i="1" s="1"/>
  <c r="G394" i="1"/>
  <c r="U381" i="1"/>
  <c r="U370" i="1" s="1"/>
  <c r="G19" i="1"/>
  <c r="A174" i="1"/>
  <c r="A175" i="1" s="1"/>
  <c r="A176" i="1" s="1"/>
  <c r="A177" i="1" s="1"/>
  <c r="A178" i="1" s="1"/>
  <c r="A179" i="1" s="1"/>
  <c r="A181" i="1" s="1"/>
  <c r="A182"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56"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1" i="1" s="1"/>
  <c r="A296" i="1" s="1"/>
  <c r="A297" i="1" s="1"/>
  <c r="A299" i="1" s="1"/>
  <c r="A300" i="1" s="1"/>
  <c r="A301" i="1" s="1"/>
  <c r="A303" i="1" s="1"/>
  <c r="A304" i="1" s="1"/>
  <c r="A305" i="1" s="1"/>
  <c r="A306" i="1" s="1"/>
  <c r="A307" i="1" s="1"/>
  <c r="A308" i="1" s="1"/>
  <c r="A309" i="1" s="1"/>
  <c r="A310" i="1" s="1"/>
  <c r="A171" i="1"/>
  <c r="A172" i="1" s="1"/>
  <c r="A173" i="1" s="1"/>
  <c r="E394" i="1" l="1"/>
  <c r="G381" i="1"/>
  <c r="A315" i="1"/>
  <c r="A326" i="1"/>
  <c r="A327" i="1" s="1"/>
  <c r="A328" i="1" s="1"/>
  <c r="A329" i="1" s="1"/>
  <c r="A330" i="1" s="1"/>
  <c r="A331" i="1" s="1"/>
  <c r="A332" i="1" s="1"/>
  <c r="A333" i="1" s="1"/>
  <c r="A334" i="1" s="1"/>
  <c r="A335" i="1" s="1"/>
  <c r="A336" i="1" s="1"/>
  <c r="A339" i="1" s="1"/>
  <c r="A341" i="1" s="1"/>
  <c r="A342" i="1" s="1"/>
  <c r="A344" i="1" s="1"/>
  <c r="A345" i="1" s="1"/>
  <c r="A346" i="1" s="1"/>
  <c r="A347" i="1" s="1"/>
  <c r="A348" i="1" s="1"/>
  <c r="A349" i="1" s="1"/>
  <c r="A350" i="1" s="1"/>
  <c r="A351" i="1" s="1"/>
  <c r="A352" i="1" s="1"/>
  <c r="A353" i="1" s="1"/>
  <c r="A354" i="1" s="1"/>
  <c r="A355" i="1" s="1"/>
  <c r="A356" i="1" s="1"/>
  <c r="A357" i="1" s="1"/>
  <c r="A358" i="1" s="1"/>
  <c r="A359" i="1" s="1"/>
  <c r="A361" i="1" s="1"/>
  <c r="A362" i="1" s="1"/>
  <c r="E381" i="1" l="1"/>
  <c r="G370" i="1"/>
  <c r="E370" i="1" s="1"/>
  <c r="A366" i="1"/>
  <c r="A372" i="1"/>
  <c r="A377" i="1" s="1"/>
  <c r="A382" i="1" s="1"/>
  <c r="A386" i="1" s="1"/>
  <c r="A390" i="1" s="1"/>
  <c r="A394" i="1" s="1"/>
  <c r="A399" i="1" s="1"/>
  <c r="A407" i="1" s="1"/>
  <c r="A410" i="1" s="1"/>
  <c r="A413" i="1" s="1"/>
  <c r="A417" i="1" s="1"/>
  <c r="A421" i="1" s="1"/>
  <c r="A425" i="1" s="1"/>
  <c r="A428" i="1" s="1"/>
  <c r="A431" i="1" s="1"/>
  <c r="A434" i="1" s="1"/>
  <c r="A437" i="1" s="1"/>
  <c r="A441" i="1" s="1"/>
  <c r="A445" i="1" s="1"/>
  <c r="A449" i="1" s="1"/>
  <c r="A451" i="1" s="1"/>
  <c r="A452" i="1" s="1"/>
  <c r="A469" i="1" s="1"/>
  <c r="A471" i="1" s="1"/>
  <c r="A472" i="1" s="1"/>
  <c r="A473" i="1" s="1"/>
  <c r="A474" i="1" s="1"/>
  <c r="A475" i="1" s="1"/>
  <c r="A476" i="1" s="1"/>
  <c r="A477" i="1" s="1"/>
  <c r="A478" i="1" s="1"/>
  <c r="A479" i="1" s="1"/>
  <c r="A480" i="1" s="1"/>
  <c r="A496" i="1" s="1"/>
  <c r="A497" i="1" s="1"/>
  <c r="A498" i="1" s="1"/>
  <c r="A499" i="1" s="1"/>
  <c r="A500" i="1" s="1"/>
  <c r="A501" i="1" s="1"/>
  <c r="A503" i="1" s="1"/>
  <c r="A504" i="1" s="1"/>
  <c r="A508" i="1" s="1"/>
  <c r="A510" i="1" s="1"/>
  <c r="A512" i="1" s="1"/>
  <c r="A513" i="1" s="1"/>
  <c r="A515" i="1" s="1"/>
  <c r="A517" i="1" s="1"/>
  <c r="A523" i="1" s="1"/>
  <c r="A524" i="1" s="1"/>
  <c r="A528" i="1" l="1"/>
  <c r="A539" i="1"/>
  <c r="A540" i="1" s="1"/>
  <c r="A542" i="1" s="1"/>
  <c r="E23" i="1" l="1"/>
  <c r="F19" i="1"/>
  <c r="E19" i="1" s="1"/>
  <c r="L150" i="1"/>
  <c r="L118" i="1"/>
  <c r="AO118" i="1"/>
  <c r="AO150" i="1"/>
  <c r="M118" i="1"/>
  <c r="M150" i="1"/>
  <c r="X150" i="1"/>
  <c r="X118" i="1"/>
  <c r="AY118" i="1"/>
  <c r="AY150" i="1"/>
  <c r="BC118" i="1"/>
  <c r="BC150" i="1"/>
  <c r="T150" i="1"/>
  <c r="T118" i="1"/>
  <c r="AL150" i="1"/>
  <c r="AL118" i="1"/>
  <c r="O150" i="1"/>
  <c r="O118" i="1"/>
  <c r="AA118" i="1"/>
  <c r="AA150" i="1"/>
  <c r="P150" i="1"/>
  <c r="P118" i="1"/>
  <c r="BD118" i="1"/>
  <c r="BD150" i="1"/>
  <c r="Y118" i="1"/>
  <c r="Y150" i="1"/>
  <c r="E150" i="1"/>
  <c r="K118" i="1"/>
  <c r="K150" i="1"/>
  <c r="AW118" i="1"/>
  <c r="AW150" i="1"/>
  <c r="AZ150" i="1"/>
  <c r="AZ118" i="1"/>
  <c r="AV150" i="1"/>
  <c r="AV118" i="1"/>
  <c r="BF150" i="1"/>
  <c r="BF118" i="1"/>
  <c r="H118" i="1"/>
  <c r="V118" i="1"/>
  <c r="V150" i="1"/>
  <c r="AU150" i="1"/>
  <c r="AU118" i="1"/>
  <c r="BA150" i="1"/>
  <c r="BA118" i="1"/>
  <c r="Z150" i="1"/>
  <c r="Z118" i="1"/>
  <c r="AN150" i="1"/>
  <c r="AN118" i="1"/>
  <c r="AJ118" i="1"/>
  <c r="AJ150" i="1"/>
  <c r="AK118" i="1"/>
  <c r="AK150" i="1"/>
  <c r="AS118" i="1"/>
  <c r="AS150" i="1"/>
  <c r="AB118" i="1"/>
  <c r="AB150" i="1"/>
  <c r="BE150" i="1"/>
  <c r="BE118" i="1"/>
  <c r="I150" i="1"/>
  <c r="I118" i="1"/>
  <c r="J118" i="1"/>
  <c r="J150" i="1"/>
  <c r="S150" i="1"/>
  <c r="S118" i="1"/>
  <c r="AP118" i="1"/>
  <c r="AP150" i="1"/>
  <c r="BB118" i="1"/>
  <c r="BB150" i="1"/>
  <c r="BG118" i="1"/>
  <c r="BG150" i="1"/>
  <c r="AC118" i="1"/>
  <c r="AC150" i="1"/>
  <c r="W150" i="1"/>
  <c r="W118" i="1"/>
  <c r="N150" i="1"/>
  <c r="N118" i="1"/>
  <c r="AG150" i="1"/>
  <c r="AG118" i="1"/>
  <c r="AD118" i="1"/>
  <c r="AD150" i="1"/>
  <c r="AH118" i="1"/>
  <c r="AH150" i="1"/>
  <c r="AI150" i="1"/>
  <c r="AI118" i="1"/>
  <c r="AR150" i="1"/>
  <c r="AR118" i="1"/>
  <c r="U150" i="1"/>
  <c r="U118" i="1"/>
  <c r="AE118" i="1"/>
  <c r="AE150" i="1"/>
  <c r="R118" i="1"/>
  <c r="R150" i="1"/>
  <c r="AX118" i="1"/>
  <c r="AX150" i="1"/>
  <c r="AT118" i="1"/>
  <c r="AT150" i="1"/>
  <c r="AQ118" i="1"/>
  <c r="AQ150" i="1"/>
  <c r="AM150" i="1"/>
  <c r="AM118" i="1"/>
  <c r="H150" i="1"/>
  <c r="G150" i="1"/>
  <c r="G118" i="1"/>
  <c r="E118" i="1"/>
  <c r="Q118" i="1"/>
  <c r="Q150" i="1"/>
  <c r="AF118" i="1"/>
  <c r="AF1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Huyền Trang</author>
  </authors>
  <commentList>
    <comment ref="B102" authorId="0" shapeId="0" xr:uid="{00000000-0006-0000-0000-000001000000}">
      <text>
        <r>
          <rPr>
            <b/>
            <sz val="9"/>
            <color indexed="81"/>
            <rFont val="Tahoma"/>
            <family val="2"/>
          </rPr>
          <t>Huyền Trang:</t>
        </r>
        <r>
          <rPr>
            <sz val="9"/>
            <color indexed="81"/>
            <rFont val="Tahoma"/>
            <family val="2"/>
          </rPr>
          <t xml:space="preserve">
Giảm </t>
        </r>
      </text>
    </comment>
  </commentList>
</comments>
</file>

<file path=xl/sharedStrings.xml><?xml version="1.0" encoding="utf-8"?>
<sst xmlns="http://schemas.openxmlformats.org/spreadsheetml/2006/main" count="3700" uniqueCount="1143">
  <si>
    <t>DANH MỤC CÔNG TRÌNH, DỰ ÁN THỰC HIỆN TRONG ĐIỀU CHỈNH QUY HOẠCH SỬ DỤNG ĐẤT THỜI KỲ 2021 - 2030</t>
  </si>
  <si>
    <t>HUYỆN VĂN LÃNG - TỈNH LẠNG SƠN</t>
  </si>
  <si>
    <t>STT</t>
  </si>
  <si>
    <t>Hạng mục</t>
  </si>
  <si>
    <t>Xã/thị trấn</t>
  </si>
  <si>
    <t>Loại đất lấy vào</t>
  </si>
  <si>
    <t>Vị trí trên bản đồ địa chính (tờ bản đồ số, thửa số)</t>
  </si>
  <si>
    <t>Năm thực hiện</t>
  </si>
  <si>
    <t>Căn cứ pháp lý</t>
  </si>
  <si>
    <t>Ghi chú</t>
  </si>
  <si>
    <t>LUC</t>
  </si>
  <si>
    <t>LUK</t>
  </si>
  <si>
    <t>LUN</t>
  </si>
  <si>
    <t>HNK</t>
  </si>
  <si>
    <t>CLN</t>
  </si>
  <si>
    <t>RPH</t>
  </si>
  <si>
    <t>RPT</t>
  </si>
  <si>
    <t>RPN</t>
  </si>
  <si>
    <t>RPM</t>
  </si>
  <si>
    <t>RDD</t>
  </si>
  <si>
    <t>RDT</t>
  </si>
  <si>
    <t>RDN</t>
  </si>
  <si>
    <t>RDM</t>
  </si>
  <si>
    <t>RSX</t>
  </si>
  <si>
    <t>RST</t>
  </si>
  <si>
    <t>RSN</t>
  </si>
  <si>
    <t>RSM</t>
  </si>
  <si>
    <t>NTS</t>
  </si>
  <si>
    <t>NKH</t>
  </si>
  <si>
    <t>CQP</t>
  </si>
  <si>
    <t>CAN</t>
  </si>
  <si>
    <t>TMD</t>
  </si>
  <si>
    <t>SKC</t>
  </si>
  <si>
    <t>SKS</t>
  </si>
  <si>
    <t>DGT</t>
  </si>
  <si>
    <t>DTL</t>
  </si>
  <si>
    <t>DNL</t>
  </si>
  <si>
    <t>DBV</t>
  </si>
  <si>
    <t>DVH</t>
  </si>
  <si>
    <t>DYT</t>
  </si>
  <si>
    <t>DGD</t>
  </si>
  <si>
    <t>DTT</t>
  </si>
  <si>
    <t>DKH</t>
  </si>
  <si>
    <t>DXH</t>
  </si>
  <si>
    <t>DCH</t>
  </si>
  <si>
    <t>DDT</t>
  </si>
  <si>
    <t>DDL</t>
  </si>
  <si>
    <t>DRA</t>
  </si>
  <si>
    <t>ONT</t>
  </si>
  <si>
    <t>ODT</t>
  </si>
  <si>
    <t>TSC</t>
  </si>
  <si>
    <t>DTS</t>
  </si>
  <si>
    <t>NTD</t>
  </si>
  <si>
    <t>SKX</t>
  </si>
  <si>
    <t>DSH</t>
  </si>
  <si>
    <t>DKV</t>
  </si>
  <si>
    <t>TON</t>
  </si>
  <si>
    <t>TIN</t>
  </si>
  <si>
    <t>SON</t>
  </si>
  <si>
    <t>MNC</t>
  </si>
  <si>
    <t>PNK</t>
  </si>
  <si>
    <t>CSD</t>
  </si>
  <si>
    <t>I</t>
  </si>
  <si>
    <t>Đất quốc phòng</t>
  </si>
  <si>
    <t>Công trình Đ Ban CHQS Văn Lãng</t>
  </si>
  <si>
    <t>Thị trấn Na Sầm</t>
  </si>
  <si>
    <t>Khu 5</t>
  </si>
  <si>
    <t>Tờ 35 thửa 76, 97, 74, 75, 95, 96, 167, 119, 593, 138, 139, 166, 534, 212 120; Tờ 34 thửa 86, 87, 110  (Hoàng Việt)</t>
  </si>
  <si>
    <t>2023</t>
  </si>
  <si>
    <t>Công văn số 790/BCH-TM ngày 11/5/2021 của bộ chỉ huyện tỉnh</t>
  </si>
  <si>
    <t>Công trình (DQ) xã Tân Thanh</t>
  </si>
  <si>
    <t>Xã Tân Thanh</t>
  </si>
  <si>
    <t>Thôn Nà Tồng</t>
  </si>
  <si>
    <t xml:space="preserve">Tờ LN1 thửa 445, 454. Tờ 27 thửa 1, 3, 4, 5, 15, 72, 33, 34, 35, 36 </t>
  </si>
  <si>
    <t>2024-2025</t>
  </si>
  <si>
    <t>Công trình T Đồn BP Tân Thanh</t>
  </si>
  <si>
    <t>Thôn Bản Thẩu</t>
  </si>
  <si>
    <t>Tờ LN1 thửa 875, 884, 885, 880, 876</t>
  </si>
  <si>
    <t>Công trình (DQ) xã Trùng Khánh</t>
  </si>
  <si>
    <t>Xã Trùng Khánh</t>
  </si>
  <si>
    <t>Tờ LN2 thửa 238</t>
  </si>
  <si>
    <t>Công trình (DQ) xã Tân Mỹ</t>
  </si>
  <si>
    <t>Xã Tân Mỹ</t>
  </si>
  <si>
    <t>Thôn Tà Lài</t>
  </si>
  <si>
    <t>Tờ LN2 thửa 104,105, 117, 118,…, Tờ 71 thửa 180</t>
  </si>
  <si>
    <t>Công văn số 413/BCH-TM ngày 24/9/2021 của BCH quân sự tỉnh Lạng Sơn</t>
  </si>
  <si>
    <t>Công trình C2 huyện Văn Lãng</t>
  </si>
  <si>
    <t>Xã Tân Tác</t>
  </si>
  <si>
    <t>Thôn Bản Giòong</t>
  </si>
  <si>
    <t>Tờ LN1 thửa 448, 470, 474, 525, 599,...</t>
  </si>
  <si>
    <t>Công trình H huyện Văn Lãng</t>
  </si>
  <si>
    <t>Xã Hội Hoan</t>
  </si>
  <si>
    <t>Thôn Bản Kìa</t>
  </si>
  <si>
    <t>Tờ LN2 thửa 279, 287, 288, 301, 305, 313, ...</t>
  </si>
  <si>
    <t>Công trình C1 huyện Văn Lãng</t>
  </si>
  <si>
    <t>Xã Hồng Thái</t>
  </si>
  <si>
    <t>Thôn Bản Nhùng</t>
  </si>
  <si>
    <t xml:space="preserve">Tờ LN1 thửa 488, 451, 504, 509, </t>
  </si>
  <si>
    <t>Công trình (DQ) xã Thanh Long</t>
  </si>
  <si>
    <t>Xã Thanh Long</t>
  </si>
  <si>
    <t>Thôn Pác Cú</t>
  </si>
  <si>
    <t>Tờ LN2 thửa 107, 108, 132, 131, 89</t>
  </si>
  <si>
    <t>Công trình CT xã Thanh Long</t>
  </si>
  <si>
    <t>Thôn Nà Liền, Khau Slung, Đâng Van</t>
  </si>
  <si>
    <t xml:space="preserve">Tờ 1 LN, tờ 2, 4, 5, 10, 11, 22, 23, 36, 37, 49, 74, 75, 84, 85, 86, 87, 95, 105 </t>
  </si>
  <si>
    <t>Công trình (DQ) xã Thụy Hùng</t>
  </si>
  <si>
    <t>Xã Thụy Hùng</t>
  </si>
  <si>
    <t>Thôn Pác Cáy</t>
  </si>
  <si>
    <t>Tờ LN1 thửa 100, 101, 106, 119, 131, 141</t>
  </si>
  <si>
    <t>II</t>
  </si>
  <si>
    <t>Đất an ninh</t>
  </si>
  <si>
    <t>Trụ sở Công an huyện Văn Lãng</t>
  </si>
  <si>
    <t>Khu 8</t>
  </si>
  <si>
    <t>Tờ LN1 thửa 700, 704, 732, 734, 773, 750, 774 (Tân Lang cũ)</t>
  </si>
  <si>
    <t>CV số 1523/CAT-PA10 ngày 29/4/2022 của CA tỉnh</t>
  </si>
  <si>
    <t>Trụ sở Đội Phòng cháy chữa cháy Văn Lãng</t>
  </si>
  <si>
    <t xml:space="preserve">  </t>
  </si>
  <si>
    <t>Tờ LN1 thửa 773, 787, 774, 734 (Tân Lang cũ)</t>
  </si>
  <si>
    <t xml:space="preserve"> Trụ sở công an thị trấn Na Sầm</t>
  </si>
  <si>
    <t>Tờ 27 thửa 456, 458; Tờ 34 thửa số 46 (Hoàng Việt cũ)</t>
  </si>
  <si>
    <t>2023-2025</t>
  </si>
  <si>
    <t xml:space="preserve"> Trụ sở công an xã Bắc Việt</t>
  </si>
  <si>
    <t>Xã Bắc Việt</t>
  </si>
  <si>
    <t>Thôn Vạn Xuân</t>
  </si>
  <si>
    <t>Tờ 96 thửa 216, 227, 225, 233, 229, 232, 234, 235, 228 (Trùng Quán cũ)</t>
  </si>
  <si>
    <t xml:space="preserve"> Trụ sở công an xã Trùng Khánh</t>
  </si>
  <si>
    <t>Thôn Manh Dưới</t>
  </si>
  <si>
    <t>Tờ LN2 thửa 246, 232; Tờ 37 thửa 45, 44, 48,...</t>
  </si>
  <si>
    <t xml:space="preserve"> Trụ sở công an xã Tân Mỹ</t>
  </si>
  <si>
    <t>Tờ LN2 thửa  185, 192. Tờ 82 thửa 4, 8, 34, 7</t>
  </si>
  <si>
    <t xml:space="preserve"> Trụ sở công an xã Tân Tác</t>
  </si>
  <si>
    <t>Thôn Bản Cấn</t>
  </si>
  <si>
    <t>Tờ LN1 thửa 602, 587</t>
  </si>
  <si>
    <t xml:space="preserve"> Trụ sở công an xã Thành Hòa</t>
  </si>
  <si>
    <t>Xã Thành Hòa</t>
  </si>
  <si>
    <t>Thôn Thống Nhất</t>
  </si>
  <si>
    <t>Tờ LN1 thửa 318, 319, 309, 274, 252</t>
  </si>
  <si>
    <t xml:space="preserve"> Trụ sở công an xã Nhạc Kỳ</t>
  </si>
  <si>
    <t>Xã Nhạc Kỳ</t>
  </si>
  <si>
    <t>Thôn Nà Éc</t>
  </si>
  <si>
    <t>Tờ 18 thửa 37, 38, 39, 40, 47, 48, 49, 97, 98, 99, 100, 101</t>
  </si>
  <si>
    <t xml:space="preserve"> Trụ sở công an xã Hoàng Việt</t>
  </si>
  <si>
    <t>Xã Hoàng Việt</t>
  </si>
  <si>
    <t>Thôn Nà Phai</t>
  </si>
  <si>
    <t>Tờ LN 01 thửa 458; Tờ 26 thửa 186, 206, 208, 192, 193, 207, 209</t>
  </si>
  <si>
    <t xml:space="preserve"> Trụ sở công an xã Hội Hoan</t>
  </si>
  <si>
    <t>Tờ 123 thửa 9. Tờ LN2 thửa 405</t>
  </si>
  <si>
    <t xml:space="preserve"> Trụ sở công an xã Hồng Thái</t>
  </si>
  <si>
    <t>Tờ 37 thửa 48. Tờ 38 thửa 431. Tờ 42 thửa 3</t>
  </si>
  <si>
    <t xml:space="preserve"> Trụ sở công an xã Hoàng Văn Thụ</t>
  </si>
  <si>
    <t>Xã Hoàng Văn Thụ</t>
  </si>
  <si>
    <t xml:space="preserve"> Thôn Nhân Hòa</t>
  </si>
  <si>
    <t>Tờ 19 thửa 15. Tờ LN1 thửa 169, 199</t>
  </si>
  <si>
    <t xml:space="preserve"> Trụ sở công an xã Bắc Hùng</t>
  </si>
  <si>
    <t>Xã Bắc Hùng</t>
  </si>
  <si>
    <t>Thôn Nà Liệt Trong</t>
  </si>
  <si>
    <t>Tờ 87 thửa 137, 141. Tờ 88 thửa 191, 249</t>
  </si>
  <si>
    <t xml:space="preserve"> Trụ sở công an xã Gia Miễn</t>
  </si>
  <si>
    <t>Xã Gia Miễn</t>
  </si>
  <si>
    <t>Thôn Bản Cáp</t>
  </si>
  <si>
    <t>Tờ 52 thửa 1, 2, 130. Tờ 41 thửa 181, 190, 191</t>
  </si>
  <si>
    <t>Trụ sở công an xã Thanh Long</t>
  </si>
  <si>
    <t>Tờ 39 thửa 66</t>
  </si>
  <si>
    <t xml:space="preserve"> Trụ sở công an xã Thụy Hùng</t>
  </si>
  <si>
    <t>Tờ LN1 thửa 178, 168</t>
  </si>
  <si>
    <t xml:space="preserve"> Trụ sở công an xã Bắc La</t>
  </si>
  <si>
    <t>Xã Bắc La</t>
  </si>
  <si>
    <t>Thôn Tân Lập</t>
  </si>
  <si>
    <t>Tờ LN3 thửa 90, 108</t>
  </si>
  <si>
    <t>III</t>
  </si>
  <si>
    <t>Đất cụm công nghiệp</t>
  </si>
  <si>
    <t xml:space="preserve">Cụm công nghiệp Văn Lãng </t>
  </si>
  <si>
    <t>SKN</t>
  </si>
  <si>
    <t>Thôn Hợp Nhất</t>
  </si>
  <si>
    <t>Tờ 49, 58, 59, 68, 69; Tờ LN01, 02</t>
  </si>
  <si>
    <t>Danh mục thu hút vốn đầu tư của tỉnh Lạng Sơn, giai đoạn 2023 - 2025 QĐ 2222/QĐ-UBND ngày 13/11/2021 của UBND tỉnh</t>
  </si>
  <si>
    <t>Cụm công nghiệp Văn Lãng 2</t>
  </si>
  <si>
    <t>Tờ 40, 47, 48, 49, 57, 58; Tờ LN01</t>
  </si>
  <si>
    <t>IV</t>
  </si>
  <si>
    <t xml:space="preserve">Đất thương mại, dịch vụ </t>
  </si>
  <si>
    <t>Thị trấn Na Sầm, 
xã Bắc Hùng, Bắc Việt</t>
  </si>
  <si>
    <t>xã Trùng Quán cũ Tờ 104, 110, 115; Tân Lang cũ: 1, 6 10, 11, 17, 18, 25, 26, 33, 34, 43, 44
Tờ LN1 (Trùng Quán cũ); Tờ LN1 (Tân Lang cũ)</t>
  </si>
  <si>
    <t>Trong đó:</t>
  </si>
  <si>
    <t xml:space="preserve"> + Đất ở</t>
  </si>
  <si>
    <t xml:space="preserve"> + Đất giao thông</t>
  </si>
  <si>
    <t xml:space="preserve"> + Đất thương mại dịch vụ</t>
  </si>
  <si>
    <t>Dự án khu du lịch nhà ở Xứ Lạng Thủy Vân Sơn (Quy mô 480,17 ha)</t>
  </si>
  <si>
    <t>Tờ LN 1, 2</t>
  </si>
  <si>
    <t>Dự án cải tạo tuyến đường ĐH 13 và khu dân cư biệt thự du lịch sinh thái xã Bắc La, Tân Tác, Bắc Việt (Quy mô 250,28 ha)</t>
  </si>
  <si>
    <t>Xã Bắc La, Tân Tác, Bắc Việt</t>
  </si>
  <si>
    <t>Xã Bắc Việt: Tờ 22, 23, 24, 25, 30, 31, 32, 33. Tờ LN 2, 3 (Bắc La). Tờ LN 1 (xã Tân Tác). Tờ LN 1 (Tân Lang cũ)</t>
  </si>
  <si>
    <t>Thôn Khơ Đa</t>
  </si>
  <si>
    <t xml:space="preserve">Tờ 96, 97, 108, 109. Tờ LN 1 </t>
  </si>
  <si>
    <t>Thông báo số 618/TB-UBND ngày 21/10/2019 của Ủy ban nhân dân tỉnh</t>
  </si>
  <si>
    <t xml:space="preserve"> Hạng mục kho ngoại quan</t>
  </si>
  <si>
    <t>Hạng mục cơ sở sản xuất phi nông nghiệp</t>
  </si>
  <si>
    <t>Hạng mục giao thông</t>
  </si>
  <si>
    <t>Khu 1</t>
  </si>
  <si>
    <t>Quyết định số 1374/QĐ-UBND ngày 07/8/2015 của UBND tỉnh Lạng Sơn</t>
  </si>
  <si>
    <t>Đất sử dụng cho kinh doanh thương mại (Quy mô 30,90 ha)</t>
  </si>
  <si>
    <t>Thôn Khơ Đa, Tà Lài, Cốc Nam</t>
  </si>
  <si>
    <t>Tờ 83, 84, 95, 96; Tờ LN02</t>
  </si>
  <si>
    <t>UBND xã đăng ký</t>
  </si>
  <si>
    <t>Đấu giá cho thuê quyền sử dụng đất thương mại, dịch vụ</t>
  </si>
  <si>
    <t>Tờ 12 thửa 123 (NS)</t>
  </si>
  <si>
    <t>Phương án số 335/PA-TTPTQĐ ngày 29/6/2022 của TTPTQĐ huyện phương án sử dụng đất đối với các khu đất giao Trung tâm PTQĐ huyện Văn Lãng được Chủ tịch UBND huyện phê duyệt</t>
  </si>
  <si>
    <t>Đăng ký mới</t>
  </si>
  <si>
    <t>Xây dựng trụ sở giao dịch ngân hàng và bảo hiểm xã hội (theo quy hoạch xây dựng xã Bắc Việt)</t>
  </si>
  <si>
    <t>Tờ 96 thửa 229, 232, 233, 234. Tờ 104 thửa 1, 3, 4 (Trùng Quán cũ)</t>
  </si>
  <si>
    <t>Xây dựng cửa hàng xăng dầu tại xã Hồng Thái</t>
  </si>
  <si>
    <t>Tờ 42 thửa 169</t>
  </si>
  <si>
    <t>Khu du lịch Lán Khau Bay (Hoàng Văn Thụ)</t>
  </si>
  <si>
    <t>Thôn Nhân Hòa</t>
  </si>
  <si>
    <t>Tờ 1 LN thửa 459, 452, 453, 469, 477,  467, 451</t>
  </si>
  <si>
    <t>Đất thương mại dich vụ</t>
  </si>
  <si>
    <t>Thôn Khun Pinh</t>
  </si>
  <si>
    <t>Tờ 34 thửa 346, 364, 347, 330, 331, 308, 332, 333, 310, ...</t>
  </si>
  <si>
    <t>Thôn Cốc Nam, Khơ Đa, Tà Lài</t>
  </si>
  <si>
    <t>Tờ 121 thửa 143, 160, 161, 185, 186, 205,…; Tờ 130 thửa 26, 25, 24, 1, 2 , 3, 5; Tờ LN2 thửa 1466, 1463, 1402, 1403, 1338, …</t>
  </si>
  <si>
    <t>V</t>
  </si>
  <si>
    <t xml:space="preserve">Đất cơ sở sản xuất phi nông nghiệp </t>
  </si>
  <si>
    <t>Đầu tư hạ tầng kỹ thuật và nhà xưởng Phúc Khang thuộc khu phi thuế quan</t>
  </si>
  <si>
    <t>Thôn Bản Chang, Pò Cại, Hợp Nhất</t>
  </si>
  <si>
    <t>Tờ 24, 25, 36, 34, 32, 33, 41, 42, 50, 35, 43, 51; Tờ LN02</t>
  </si>
  <si>
    <t>Quyết định số 2680/QĐ-UBND ngày 26/12/2019 của UBND tỉnh Lạng Sơn</t>
  </si>
  <si>
    <t>Đất giao thông</t>
  </si>
  <si>
    <t>Đất thương mại dịch vụ</t>
  </si>
  <si>
    <t>Đất công trình công cộng khác</t>
  </si>
  <si>
    <t>DCK</t>
  </si>
  <si>
    <t>Cây xanh</t>
  </si>
  <si>
    <t>Dự án xây dựng khu sản xuất, chế biến nông lâm, thủy sản tập trung (Xã Tân Mỹ) (Quy mô 30,00 ha)</t>
  </si>
  <si>
    <t>Tờ 73, 84, 85; Tờ LN02</t>
  </si>
  <si>
    <t>Đầu tư hạ tầng kỹ thuật khu phi thuế quan theo quy hoạch được duyệt để thực hiện đấu giá hoặc giao đất, cho thuê đất</t>
  </si>
  <si>
    <t>Tờ 34, 41, 42, 50, 51, Tờ LN01</t>
  </si>
  <si>
    <t>2023-2025: 5,00 ha;
2026-2030: 5,00 ha</t>
  </si>
  <si>
    <t>Danh mục thu hút vốn đầu tư của tỉnh giai đoạn 2023 - 2025.QĐ 2222/QĐ-UBND ngày 13/11/2021)</t>
  </si>
  <si>
    <t>Dự án khu đất sản xuất kinh doanh (Quy mô 229,40 ha)</t>
  </si>
  <si>
    <t>Thôn Nà Kéo, Nà Lẹng, Tà Lài, Khơ Đa, Cốc Nam</t>
  </si>
  <si>
    <t>Tờ LN 01, 02</t>
  </si>
  <si>
    <t>Thu hút đầu tư của huyện</t>
  </si>
  <si>
    <t>Đấu giá quyền sử dụng đất cơ sở sản xuất phi nông nghiệp (thửa số 156, thửa số 178)</t>
  </si>
  <si>
    <t>Thôn Bản Chang, Pò Cại</t>
  </si>
  <si>
    <t>Thửa số 156, thửa số 178</t>
  </si>
  <si>
    <t>Ban quản lý khu kinh tế cửa khẩu Đồng Đăng Lạng Sơn</t>
  </si>
  <si>
    <t>Trạm trộn bê tông công ty CP Thuận An Phát 161</t>
  </si>
  <si>
    <t>Thôn Thanh Hảo</t>
  </si>
  <si>
    <t>Tờ LN1 thửa 219, 243 
(Tân Lang cũ)</t>
  </si>
  <si>
    <t>Văn bản số 1051/SKHĐT-QLĐTNNS ngày 23/7/2020 của Sở KH&amp;ĐT</t>
  </si>
  <si>
    <t>Dự án đất sản xuất kinh doạnh (vị trí Trạm kiểm soát Barie số 2)</t>
  </si>
  <si>
    <t>QH chi tiết 1/500</t>
  </si>
  <si>
    <t>Dự án đất sản xuất kinh doanh (vị trí lô đất đắp để thi công đường Tân Thanh - Khả Phong)</t>
  </si>
  <si>
    <t>Tờ LN1 thửa 474</t>
  </si>
  <si>
    <t>Dự án sản xuất kinh doạnh (vị trí lô (bãi) đất đổ thải khi làm tuyến đường Tân Thanh - Khả Phong</t>
  </si>
  <si>
    <t>Tờ LN1 thửa 851</t>
  </si>
  <si>
    <t>Đất sản xuất kinh doanh (xưởng gỗ bóc, sản xuất gạch,…) trên địa bàn xã</t>
  </si>
  <si>
    <t>Thôn Khun Rọc, Tà Coóc</t>
  </si>
  <si>
    <t>Thôn Bản Đuốc, Bản Thẩu</t>
  </si>
  <si>
    <t>Tờ 18 thửa 25, 26, 27; Tờ 40 thửa 11</t>
  </si>
  <si>
    <t>Thôn Lương Thác</t>
  </si>
  <si>
    <t>Tờ 57 thửa 195</t>
  </si>
  <si>
    <t>Thôn Bản Cáp, Cốc Nhảng, Phai Nà</t>
  </si>
  <si>
    <t xml:space="preserve">Tờ 42 thửa 36. Tờ 51 thửa 14, Tờ 160 thửa 1, 2. Tờ 100 thửa 43. Tờ 76 thửa 184 </t>
  </si>
  <si>
    <t>Thôn Lù Thẳm</t>
  </si>
  <si>
    <t>Tờ 56 thửa 170</t>
  </si>
  <si>
    <t>Tờ LN 1 thửa 197, 201, 205, 209, 231, 247</t>
  </si>
  <si>
    <t>Thôn Co Tào, Bản Van, Hòa Lạc</t>
  </si>
  <si>
    <t>Thôn Nà Liền</t>
  </si>
  <si>
    <t>Tờ LN 1 thửa 621</t>
  </si>
  <si>
    <t>Thôn Bản Nhùng, Pác Sàng</t>
  </si>
  <si>
    <t>Các thôn</t>
  </si>
  <si>
    <t>Thôn Manh Trên</t>
  </si>
  <si>
    <t>Tờ 72 thửa 16</t>
  </si>
  <si>
    <t>Thôn Thanh Hảo, Lũng Vài, Bản Vạc</t>
  </si>
  <si>
    <t>Tờ 37 thửa 57, 58, 59. Tờ 38 thửa 22, 27; Tờ 13 thửa 260 (Trùng Quán cũ); Tờ 28 thửa 83 (Trùng Quán cũ); Tờ 14 thửa 42 (Trùng Quán cũ)</t>
  </si>
  <si>
    <t>Thôn Tân Lập, Và Quang</t>
  </si>
  <si>
    <t>Thôn Tà Coóc</t>
  </si>
  <si>
    <t>Thôn Co Tào</t>
  </si>
  <si>
    <t>Thôn Công Lý</t>
  </si>
  <si>
    <t>Tờ LN1</t>
  </si>
  <si>
    <t>Thôn Lũng Vài</t>
  </si>
  <si>
    <t>VI</t>
  </si>
  <si>
    <t>Đất sử dụng cho hoạt động khoáng sản</t>
  </si>
  <si>
    <t>Dự án khai thác và chế biến quặng Bauxit tại mỏ Ma Mèo, xã Tân Mỹ, huyện Văn Lãng (Quy mô 33,55 ha)</t>
  </si>
  <si>
    <t>Thôn Tà Lài, Khơ Đa</t>
  </si>
  <si>
    <t>Theo mảnh trích đo số 10 - 2017, tờ 72, 2</t>
  </si>
  <si>
    <t>Giấy phép khai thác khoáng sản của BTNMT</t>
  </si>
  <si>
    <t>VII</t>
  </si>
  <si>
    <t>Đất sản xuất vật liệu xây dựng, làm đồ gốm</t>
  </si>
  <si>
    <t>Xã Bắc Hùng, xã Bắc Việt</t>
  </si>
  <si>
    <t>Tờ 6 thửa 8, tờ 2 thửa 122, tờ 11 thửa 70, tờ 18 thửa 65 (Tân Lang cũ)</t>
  </si>
  <si>
    <t>Quyết định số 34 /2020/QĐ-UBND ngày 13/8/2020 của UBND tỉnh</t>
  </si>
  <si>
    <t>Dự án khai thác cát sỏi dải Hồng Thái - Song Giang (Quy mô 142,10 ha)</t>
  </si>
  <si>
    <t>Thôn Bản Chúc</t>
  </si>
  <si>
    <t>Tờ 14 thửa 25; Tờ 25 thửa 1</t>
  </si>
  <si>
    <t>Quyết định số 34/2020/QĐ-UBND ngày 13/8/2020 của UBND tỉnh</t>
  </si>
  <si>
    <t>Dự án khai thác Cát sỏi Hoàng Việt (Quy mô 26,23 ha)</t>
  </si>
  <si>
    <t>Thôn Tà Pịac</t>
  </si>
  <si>
    <t>Tờ 111 thửa 105, 135, 138, 154, 155, 156, 157, 158, 159</t>
  </si>
  <si>
    <t>Dự án khai thác đá vôi Trùng Khánh</t>
  </si>
  <si>
    <t>Thôn Pá Tặp</t>
  </si>
  <si>
    <t>Tờ 1 LN thửa 665, 668</t>
  </si>
  <si>
    <t>Dự án khai thác vật liệu xây dựng</t>
  </si>
  <si>
    <t>Tờ LN01 thửa 817, 861; Tờ 51 thửa 20, 34, 35, 21, 22, 23</t>
  </si>
  <si>
    <t>Dự án khai thác đá vôi Công Lý I</t>
  </si>
  <si>
    <t>Tờ 1 LN thửa 1002, 1053</t>
  </si>
  <si>
    <t>Mỏ cát, sỏi sông Kỳ Cùng xã Hồng Thái</t>
  </si>
  <si>
    <t>Thôn Pác Bó</t>
  </si>
  <si>
    <t>Tờ 64 thửa 17; Tờ 67 thửa 62</t>
  </si>
  <si>
    <t>Mở rộng mỏ đá vôi Lũng Vặm</t>
  </si>
  <si>
    <t>Tờ 20 thửa 14; Tờ 21 thửa 3; Tờ 1 LN thửa 243, 310 (Tân Lang cũ)</t>
  </si>
  <si>
    <t>Mỏ đất đắp</t>
  </si>
  <si>
    <t>Khu 7</t>
  </si>
  <si>
    <t>Tờ LN1 thửa 172,188,197,176,201 (Hoàng Việt cũ)</t>
  </si>
  <si>
    <t>Thôn Nà Phai, Cốc Hắt</t>
  </si>
  <si>
    <t>Tờ 1 LN thửa 491, 512, 521, 514, 507; Tờ 2 LN thửa 675, 632, 662, 612</t>
  </si>
  <si>
    <t>Thôn Bình Dân</t>
  </si>
  <si>
    <t>Tờ LN02 thửa 377, 316, 383, 384, 354, 334, 385</t>
  </si>
  <si>
    <t>Thôn Nà Danh</t>
  </si>
  <si>
    <t>Tờ 1 LN thửa 50, 60, 63, 68, 55, 58, 72</t>
  </si>
  <si>
    <t>LN 1 thửa 846</t>
  </si>
  <si>
    <t>Văn bản số 112/BQLXD-QLXD của BQL xây dựng và bảo trì hại tầng giao thông Sở GTVT</t>
  </si>
  <si>
    <t>Tờ 2 LN thửa 69,64,64,…; Tờ LN1 thửa 372,371,360,327</t>
  </si>
  <si>
    <t>Thôn Bản Gioong, Bản Quan</t>
  </si>
  <si>
    <t>Tờ 1 LN thửa 222, 211, 214, 223 (Trùng Quán cũ); Tờ 1 LN thửa 32, 33, 66, 64, 49 (Tân Việt cũ)</t>
  </si>
  <si>
    <t>Tờ 2 LN thửa 148</t>
  </si>
  <si>
    <t>Tờ 1 LN thửa 241</t>
  </si>
  <si>
    <t>Tờ 2 LN, thửa 208,201</t>
  </si>
  <si>
    <t>Thôn Phai Nà</t>
  </si>
  <si>
    <t>Tờ LN 1 thửa 697, 717 ,694, 719, 748, 758, 780</t>
  </si>
  <si>
    <t>VIII</t>
  </si>
  <si>
    <t>-</t>
  </si>
  <si>
    <t>Đường cao tốc</t>
  </si>
  <si>
    <t>Dự án Đầu tư xây dựng tuyến cao tốc Đồng Đăng (tỉnh Lạng Sơn) - Trà Lĩnh (tỉnh Cao Bằng) theo hình thức đối tác  công tư</t>
  </si>
  <si>
    <t>Thị trấn Na Sầm, 
xã Hoàng Việt, xã Bắc Việt, xã Tân Mỹ</t>
  </si>
  <si>
    <t xml:space="preserve">Xã Hoàng Việt (Tờ 25,32,33, 42), Xã Tân Mỹ (Tờ 02, 07, 08, 14, 15, 21, 22, 29, 37, 38, 46, 57, 68, 67, 69, 80, 92, 104, 117, 127, 136, 137). Xã Bắc Việt (Tân Lang tờ 5, 10, 17, 25,33, 34,43, 44,45, 61; xã Tân Việt tờ 58, 59, 47, 46, 34, 33,22, 13, 12, 7, 6; xã Trùng Quán số tờ 23, 56, 57, 70, 85, 95, 110, 115); BĐLN TT Na Sầm (tờ số 1); BĐLN xã Hoàng Việt (tờ 1, tờ 2); BĐLN Tân Mỹ (Tờ 1, tờ 2); BĐLN Bắc Việt ( BDLN Tân Lang tờ 1, BĐLN Tân Việt tờ 1, BĐLN Trùng Quán tờ 1) </t>
  </si>
  <si>
    <t>Công văn số 1019 /SGTVT-KHTC ngày 13/4/2022 V/v cung cấp thông tin làm cơ sở phân bổ chỉ tiêu đất đai đến năm 2030 cấp huyện</t>
  </si>
  <si>
    <t>Dự án tuyến cao tốc cửa khẩu Hữu Nghị - Chi Lăng theo hình thức BOT</t>
  </si>
  <si>
    <t>Tờ 24, 31, 32, 39, 47, 56, 57, 67, 68, 79, 80, 92, 104, 105, 117, 118, 127, 136, 137, 138, 129, 130, 121, 122; Tờ LN1, LN2</t>
  </si>
  <si>
    <t>Thông báo số 602/TB-UBND ngày 28/10/2022 của UBND tỉnh Lạng Sơn về Kết luận của đồng chí Hồ Tiến Thiệu, Chủ tịch UBND tỉnh tại cuộc họp triển khai Dự án tuyến cao tốc cửa khẩu Hữu Nghị - Chi Lăng theo hình thức BOT</t>
  </si>
  <si>
    <t>Dự án đường tuần tra biên giới tỉnh Lạng Sơn/Quân khu 1 (Giai đoạn 2021 - 2025)</t>
  </si>
  <si>
    <t>Các xã Thanh Long, Thụy Hùng, Trùng Khánh</t>
  </si>
  <si>
    <t>Quyết định số 2953/QĐ-BQP ngày 01/9/2021 của Bô Quốc phòng về việc phê duyệt chủ trương đầu tư dự án đường TTBG tỉnh Lạng Sơn/QK1 (giai đoạn 2021 - 2025)</t>
  </si>
  <si>
    <t>Đường tránh</t>
  </si>
  <si>
    <t>Dự án Tuyến tránh thị trấn Na Sầm và đoạn tránh đèo Bó Củng trên QL4A</t>
  </si>
  <si>
    <t>Thị trấn Na Sầm, 
xã Hoàng Việt, Bắc Việt</t>
  </si>
  <si>
    <t>Tờ 19, 25, 26, 34, 35, 44 xã Hoàng Việt thửa Tờ LN1 (Tân Lang cũ)</t>
  </si>
  <si>
    <t>Công văn số 1019 /SGTVT-KHTC ngày 13/4/2022 V/v cung cấp thông tin làm cơ sở phân bổ chỉ tiêu đất đai đến năm 2030 cấp huyện; Kế hoạch số 77/KH-UBND; Đang đề xuất chủ trương đầu tư</t>
  </si>
  <si>
    <t>Đường quốc lộ, tỉnh lộ, huyện lộ, liên xã</t>
  </si>
  <si>
    <t>Dự án LRAMP - Hợp phần 1: Khôi phục, cải tạo đường địa phương</t>
  </si>
  <si>
    <t>Huyện Văn Lãng</t>
  </si>
  <si>
    <t>Mở rộng đường tỉnh 232</t>
  </si>
  <si>
    <t>Xã Bắc Việt, xã Thành Hòa</t>
  </si>
  <si>
    <t>Công văn số 1019 /SGTVT-KHTC ngày  13/4/2022 V/v cung cấp thông tin làm cơ sở phân bổ chỉ tiêu đất đai đến năm 2030 cấp huyện</t>
  </si>
  <si>
    <t>Cải tạo đường ĐH12 (Tân Lang - Tân Việt)</t>
  </si>
  <si>
    <t>Đầu tư công</t>
  </si>
  <si>
    <t>Xử lý vị trí điểm đen tai nạn giao thông tại Km9+600 - Km10, QL.4A</t>
  </si>
  <si>
    <t>Thôn Nà Kéo</t>
  </si>
  <si>
    <t>Tờ 5 thửa 61 ,64, 95, 80; Tờ 10 thửa 22, 41, 42, 43, 25, 14; Tờ LN1 thửa 96, 109, …</t>
  </si>
  <si>
    <t>Công văn số 1019 /SGTVT-KHTC ngày  13/4/ 2022 V/v cung cấp thông tin làm cơ sở phân bổ chỉ tiêu đất đai đến năm 2030 cấp huyện</t>
  </si>
  <si>
    <t>Cải tạo, mở rộng đường huyện ĐH.17/Tân Mỹ - Nhạc Kỳ - Điềm He</t>
  </si>
  <si>
    <t xml:space="preserve">Tờ 1, 2, 8, 17, 18, 28, 29, 38, 39, 46, 51, 57, 58, 61 </t>
  </si>
  <si>
    <t>Phòng Kinh tế - Hạ tầng đăng ký</t>
  </si>
  <si>
    <t>Cải tạo, mở rộng đường huyện ĐH.16/Văn Thụ - Hồng Thái - Hoàng Việt</t>
  </si>
  <si>
    <t>Mở rộng Đường từ Bản Miằng đến đường 231</t>
  </si>
  <si>
    <t>Xử lý vị trí điểm đen tai nạn giao thông tại Km19+800-Km20+680, QL4A</t>
  </si>
  <si>
    <t>Thôn Đoàn Kết</t>
  </si>
  <si>
    <t>Tờ LN1 thửa 1, 3, 49 (Tân Lang cũ)</t>
  </si>
  <si>
    <t>Cải tạo, nâng cấp tuyến Na Sầm - Văn Mịch - Hưng Đạo - Cốc Tàn, ĐT.231</t>
  </si>
  <si>
    <t>Bến xe</t>
  </si>
  <si>
    <t>Cảng cạn Tân Thanh</t>
  </si>
  <si>
    <t>Thôn Nà Han, Nà Ngườm, Bản Thẩu</t>
  </si>
  <si>
    <t>Ban Quản lý khu kinh tế cửa khẩu Lạng Sơn</t>
  </si>
  <si>
    <t>Bến xe hàng hóa xuất nhập khẩu</t>
  </si>
  <si>
    <t>Thôn Nà Han, Nà Lầu</t>
  </si>
  <si>
    <t>Bến xe hàng hóa xuất nhập khẩu cửa khẩu Tân Thanh</t>
  </si>
  <si>
    <t>2022-2025</t>
  </si>
  <si>
    <t>Quyết định 1897/QĐ-UBND ngày 19/10/2015 của UBND tỉnh phê duyệt chủ trương đầu tư dự án</t>
  </si>
  <si>
    <t xml:space="preserve">Bến xe hàng hóa xuất nhập khẩu cửa khẩu Tân Thanh và thương mại dịch vụ </t>
  </si>
  <si>
    <t>Văn bản số 1019/BQLKKTCK-KH ngày 26/11/2021 của Ban Quản lý khu kinh tế cửa khẩu Lạng Sơn</t>
  </si>
  <si>
    <t>Hạng mục thương mại</t>
  </si>
  <si>
    <t>Thôn Nà Han</t>
  </si>
  <si>
    <t>Hạng mục sản xuất kinh doanh</t>
  </si>
  <si>
    <t>Bến xe Văn Lãng</t>
  </si>
  <si>
    <t>Tờ số 35: Thửa 580, 406, 407, 427, 409, 443, 536, 459,…; Tờ 44 thửa 6, 7, 21, 22, 23, …; Tờ LN1 (Hoàng Việt cũ)</t>
  </si>
  <si>
    <t>Đường liên thôn, trục thôn, GTNT, ngõ xóm</t>
  </si>
  <si>
    <t>Dự án đường Hội Hoan (huyện Văn Lãng) - Bình La (Bình Gia)</t>
  </si>
  <si>
    <t>Xã Hội Hoan, xã Gia Miễn</t>
  </si>
  <si>
    <t>Đường Cốc Mặn - Khun Phung - Còn Luông</t>
  </si>
  <si>
    <t>Tờ 31, 32, 33; Tờ LN 1</t>
  </si>
  <si>
    <t>Đường liên xã từ thôn Bản Kìa xã Hội Hoan đến thôn Nà Pục, xã Bắc La, huyện Văn Lãng</t>
  </si>
  <si>
    <t>Xã Hội Hoan, Bắc La</t>
  </si>
  <si>
    <t>Thôn Bản Kìa, Nà Pục</t>
  </si>
  <si>
    <t>Ban Quản lý dự án đăng ký</t>
  </si>
  <si>
    <t>Các tuyến đường giao thông nông thôn trên địa bàn các xã, thị trấn</t>
  </si>
  <si>
    <t>Các xã, thị trấn</t>
  </si>
  <si>
    <t>2022-2023</t>
  </si>
  <si>
    <t>KH phát triển KTXH 5 năm 2023 - 2025 huyện Văn Lãng được UBND tỉnh phê duyệt tại Quyết định số 730/QĐ-UBND ngày 31/3/2021; KH số 245/KH-UBND ngày 14/10/2021, NQ số 58-NQ/TU ngày 29/11/2021 của Tỉnh ủy</t>
  </si>
  <si>
    <t>Thôn Còn Luông</t>
  </si>
  <si>
    <t>2026-2030</t>
  </si>
  <si>
    <t xml:space="preserve"> Xã Thanh Long </t>
  </si>
  <si>
    <t>IX</t>
  </si>
  <si>
    <t>Đất thủy lợi</t>
  </si>
  <si>
    <t>Sửa chữa và nâng cao an toàn đập (WB8)</t>
  </si>
  <si>
    <t>Dự án Sửa chữa và nâng cao An toàn đập vay vốn WB giai đoạn 2021 - 2025</t>
  </si>
  <si>
    <t>Văn bản số 682/BNN-HTQT ngày 01/02/2021 của Bộ Nông nghiệp và PTNT; 266/UBND-KT ngày 10/3/2021</t>
  </si>
  <si>
    <t>Hệ thống trạm bơm điện Bản Chúc huyện Văn Lãng, Văn Quan</t>
  </si>
  <si>
    <t>Xã Hồng Thái, Nhạc Kỳ</t>
  </si>
  <si>
    <t>Sở Nông nghiệp và PTNT đăng ký</t>
  </si>
  <si>
    <t>Đập dâng Lọ Trà</t>
  </si>
  <si>
    <t>Tờ 1 LN thửa 554</t>
  </si>
  <si>
    <t>Dự án công trình thủy lợi: Hồ Tốc Tát thôn Đâng Van, xã Thanh Long</t>
  </si>
  <si>
    <t>Thôn Đâng Van</t>
  </si>
  <si>
    <t>Tờ 87, 97</t>
  </si>
  <si>
    <t>Quyết định số 3322/QĐ-BTL ngày 13/5/2021 của Bộ tư lệnh quân khu 1 về việc phê duyệt thiết kế bản vẽ thi công – dự toán Dự án: ĐTXD công trình Khu KTQP Mẫu Sơn, tỉnh Lạng Sơn/QK1 (giai đoạn 2) đợt 2</t>
  </si>
  <si>
    <t>Xây mới, mở rộng nâng cấp các công trình thủy lợi trên địa bàn</t>
  </si>
  <si>
    <t>2023-2030</t>
  </si>
  <si>
    <t>Phòng NN&amp;PTNT huyện, UBND các xã, thị trấn</t>
  </si>
  <si>
    <t>Thôn Nà Lẹng</t>
  </si>
  <si>
    <t>Thôn Pò Mánh</t>
  </si>
  <si>
    <t>X</t>
  </si>
  <si>
    <t>Đất xây dựng cơ sở văn hóa</t>
  </si>
  <si>
    <t>Xây mới nhà văn hóa xã Bắc Việt</t>
  </si>
  <si>
    <t xml:space="preserve">Tờ 96 thửa 57, 68, 69, 80, 81, 67, 66, 46, </t>
  </si>
  <si>
    <t>Xây mới nhà văn hóa xã Tân Tác</t>
  </si>
  <si>
    <t>Tờ 51 thửa 91</t>
  </si>
  <si>
    <t>Xây mới nhà văn hóa xã Thành Hòa</t>
  </si>
  <si>
    <t>Tờ 34 thửa 113; Tờ 1 LN thửa 373</t>
  </si>
  <si>
    <t>Xây mới nhà văn hóa xã Nhạc Kỳ</t>
  </si>
  <si>
    <t>Tờ 17 thửa 134, 135, 136, 137, 139, 140, 164, …</t>
  </si>
  <si>
    <t>Xây mới nhà văn hóa xã Hội Hoan</t>
  </si>
  <si>
    <t>Thôn Háng Van</t>
  </si>
  <si>
    <t>Tờ 134 thửa 153</t>
  </si>
  <si>
    <t>Xây mới nhà văn hóa xã Gia Miễn</t>
  </si>
  <si>
    <t>Tờ 52 thửa 3; Tờ 41 thửa 192, 193, 186</t>
  </si>
  <si>
    <t>Xây mới nhà văn hóa xã Thụy Hùng</t>
  </si>
  <si>
    <t>Tờ 47 thửa 14</t>
  </si>
  <si>
    <t>Xây mới nhà văn hóa xã Bắc La</t>
  </si>
  <si>
    <t>Tờ LN 03 thửa 108, 90</t>
  </si>
  <si>
    <t>Xây mới nhà văn hóa xã Trùng Khánh (Thư viện xã )</t>
  </si>
  <si>
    <t>Tờ LN01 thửa 181; Tờ LN02 thửa 246, 258</t>
  </si>
  <si>
    <t>Xây mới thư viện xã Hoàng Việt</t>
  </si>
  <si>
    <t>Tờ 26 thửa 220</t>
  </si>
  <si>
    <t>Xây mới nhà văn hóa + thư viện xã Hồng Thái</t>
  </si>
  <si>
    <t>Tờ 41 thửa 89</t>
  </si>
  <si>
    <t>Nghị quyết số 18/2020/NQ-HĐND, ngày 14/12/2020 của Hội đồng nhân dân tỉnh</t>
  </si>
  <si>
    <t>Xây mới Tượng đài đồng chí Hoàng Văn Thụ</t>
  </si>
  <si>
    <t>Tờ 28 thửa 411, 412, 437, 414, …; Tờ 35 thửa 6, 7 , 36, 37, 38, … (Hoàng Việt cũ)</t>
  </si>
  <si>
    <t>Mở rộng bia tưởng niệm người dân bị giặc Pháp tàn sát</t>
  </si>
  <si>
    <t>Tờ LN 01 thửa 450</t>
  </si>
  <si>
    <t>Mở rộng khuôn viên bia tưởng niệm ghi tên các anh hùng liệt sỹ xã Tân Thanh</t>
  </si>
  <si>
    <t>BĐLN 01: Thửa 860, 867</t>
  </si>
  <si>
    <t>Văn bản số 526/UBND-VP ngày 05/4/2022</t>
  </si>
  <si>
    <t>Mở rộng khuôn viên bia tưởng niệm ghi tên các anh hùng liệt sỹ xã Thanh Long</t>
  </si>
  <si>
    <t>Tờ LN 01 thửa 206</t>
  </si>
  <si>
    <t>Mở rộng khuôn viên bia tưởng niệm ghi tên các anh hùng liệt sỹ xã Thụy Hùng</t>
  </si>
  <si>
    <t>Tờ LN 01 thửa 138, 152</t>
  </si>
  <si>
    <t>Xây dựng các cơ sở văn hóa trên địa bàn huyện</t>
  </si>
  <si>
    <t>XI</t>
  </si>
  <si>
    <t>Đất xây dựng cơ sở y tế</t>
  </si>
  <si>
    <t>Xây mới trung tâm y tế huyện Văn Lãng</t>
  </si>
  <si>
    <t>Tờ 23 thửa 1, 2, 3, 5, 7, 8, 6, 20 ,19,.. ;Tờ LN 1 thửa 267, 268, 285,….</t>
  </si>
  <si>
    <t>Trung tâm y tế huyện đăng ký</t>
  </si>
  <si>
    <t xml:space="preserve">Xây mới, mở rộng trạm y tế xã </t>
  </si>
  <si>
    <t>Tờ 96 thửa 214, 216, 208, 207, 217, 225 (Trùng Quán cũ)</t>
  </si>
  <si>
    <t>Tờ 1 LN thửa 163, 178, 191</t>
  </si>
  <si>
    <t>Tờ LN 03 thửa 81, 103 ,108; Tờ 70 thửa 17</t>
  </si>
  <si>
    <t>Tờ 34 thửa 100</t>
  </si>
  <si>
    <t>NQ số 62/NQ-HĐND ngày 11/8/2021 của HĐND huyện</t>
  </si>
  <si>
    <t>Tờ 39 thửa 154</t>
  </si>
  <si>
    <t>XII</t>
  </si>
  <si>
    <t>Đất xây dựng cơ sở giáo dục, đào tạo</t>
  </si>
  <si>
    <t>Xây mới trường học xã Bắc Việt (mầm non, TH&amp;THCS)</t>
  </si>
  <si>
    <t>Tờ số 96: Thửa 200, 194, 193, 202, 201, 207, 208, 209 (Trùng Quán cũ)</t>
  </si>
  <si>
    <t>Phòng Giáo dục và Đào tạo đăng ký</t>
  </si>
  <si>
    <t>Mở rộng trường THCS Bắc Việt</t>
  </si>
  <si>
    <t>Tờ số 43: Thửa 6,7,8,18 (Tân Lang cũ)</t>
  </si>
  <si>
    <t>Mở rộng trường mầm non xã Tân Thanh</t>
  </si>
  <si>
    <t>BĐLN 01: Thửa 794</t>
  </si>
  <si>
    <t>Xây mới Trường TH&amp;THCS xã Trùng Khánh</t>
  </si>
  <si>
    <t>BĐLN 02: Thửa 298, 313, 327</t>
  </si>
  <si>
    <t>Quyết định số 646/2022/QĐ-UBND ngày 21/02/2022 của UBND huyện Văn Lãng về việc phê duyệt Bản về thiết kế thi công và dự toán xây dựng công trình</t>
  </si>
  <si>
    <t>Xây mới trường mầm non Bản Pẻn xã Trùng Khánh</t>
  </si>
  <si>
    <t>Thôn Bản Pẻn</t>
  </si>
  <si>
    <t>Tờ số 53 thửa 83, 84, 101, 85, 86,…;Tờ LN 1 thửa 177</t>
  </si>
  <si>
    <t>Quyết định số 650/2022/QĐ-UBND ngày 25/02/2022 của UBND huyện Văn Lãng về việc phê duyệt Bản về thiết kế thi công và dự toán xây dựng công trình</t>
  </si>
  <si>
    <t>Xây mới trường mầm non xã Thành Hòa</t>
  </si>
  <si>
    <t>Tờ 11 thửa 80, 55, 94, 69, 79, 17, 59, 82</t>
  </si>
  <si>
    <t>Mở rộng điểm trường Bản Nam, mầm non xã Thành Hòa</t>
  </si>
  <si>
    <t>Tờ 111 thửa 3, 14</t>
  </si>
  <si>
    <t>Mở rộng trường tiểu học xã Thành Hòa</t>
  </si>
  <si>
    <t>Tờ 44 thửa 13,17,22,18</t>
  </si>
  <si>
    <t>Mở rộng Trường PTDTBT TH&amp;THCS xã Nhạc Kỳ</t>
  </si>
  <si>
    <t>Thôn Còn Tẩu</t>
  </si>
  <si>
    <t>Tờ 28 thửa 143, 164, 165, 167, 168, 188, 189</t>
  </si>
  <si>
    <t>Xây mới điểm trường Tà Pịac, mầm non xã Hoàng Việt</t>
  </si>
  <si>
    <t>Tờ 2 LN thửa 855, 910</t>
  </si>
  <si>
    <t>Xây mới điểm trường Co Tào, trường mầm non xã Hội Hoan</t>
  </si>
  <si>
    <t>Tờ 29 thửa 251</t>
  </si>
  <si>
    <t>Xây mới điểm trường Bình Độ, mầm non Nam La</t>
  </si>
  <si>
    <t>Thôn Bình Độ, Nam La</t>
  </si>
  <si>
    <t>Tờ số 42: Thửa 658 (Nam La cũ)</t>
  </si>
  <si>
    <t>Mở rộng Trường mầm non Hội Hoan</t>
  </si>
  <si>
    <t>Tờ LN2 thửa 391, 405</t>
  </si>
  <si>
    <t>Mở rộng trường mầm non Nam La</t>
  </si>
  <si>
    <t>Thôn Đồng Tâm</t>
  </si>
  <si>
    <t>Tờ số 16 Thửa, 47, 48 , 49, 120 (Nam La cũ)</t>
  </si>
  <si>
    <t>Trường THPT Hội Hoan huyện Văn Lãng</t>
  </si>
  <si>
    <t>BĐLN 02: Thửa 718, 751, 732</t>
  </si>
  <si>
    <t>Sở Giáo dục và Đào tạo đăng ký</t>
  </si>
  <si>
    <t>Xây mới trường mầm non xã Hoàng Văn Thụ</t>
  </si>
  <si>
    <t>Thôn Thuận Lợi</t>
  </si>
  <si>
    <t>Tờ 25 thửa 49, 50, 51, 52, 54, 55, 56 78, 79, 80, 81, 82</t>
  </si>
  <si>
    <t>Xây mới Trường PTDTNT THCS và THPT huyện Văn Lãng</t>
  </si>
  <si>
    <t>Thôn Nà Cạn</t>
  </si>
  <si>
    <t>Tờ 23 thửa 175, 214, 229, 228, 227, 191, … (Tân Việt cũ)</t>
  </si>
  <si>
    <t>Xây mới điểm trường Nà Cạn, mầm non xã Bắc Hùng</t>
  </si>
  <si>
    <t>Tờ số 14 (BDĐC xã Tân Việt cũ) thửa 30, 33</t>
  </si>
  <si>
    <t>Xây mới điểm trường thôn Hu Ngoài, mầm non xã Bắc Hùng</t>
  </si>
  <si>
    <t>Thôn Bản Hu</t>
  </si>
  <si>
    <t>Tờ số 47: Thửa 78 (BDĐC xã An Hùng cũ)</t>
  </si>
  <si>
    <t>Mở rộng trường tiểu học xã Bắc Hùng</t>
  </si>
  <si>
    <t>Thôn Đồng Tiến</t>
  </si>
  <si>
    <t>Tờ số 86: Thửa 99, 100 (BDĐC xã Trùng Quán cũ)</t>
  </si>
  <si>
    <t>Mở rộng điểm trường Lũng Vài, tiểu học xã Bắc Hùng</t>
  </si>
  <si>
    <t>Tờ số 29: Thửa 16, 19 (BDĐC xã Trùng Quán cũ)</t>
  </si>
  <si>
    <t>Mở rộng trường mầm non xã Thanh Long</t>
  </si>
  <si>
    <t>Tờ 1 LN thửa 206, 220, 255</t>
  </si>
  <si>
    <t>Mở rộng phân trường PTDTBT tiểu học xã Thanh Long</t>
  </si>
  <si>
    <t>Tờ 38 thửa 24</t>
  </si>
  <si>
    <t>Mở rộng trường PTDTBT THCS xã Thanh Long</t>
  </si>
  <si>
    <t>Tờ 50 thửa 130</t>
  </si>
  <si>
    <t>Mở rộng trường mầm non xã Thụy Hùng</t>
  </si>
  <si>
    <t>Thôn Bản Tả</t>
  </si>
  <si>
    <t>BĐLN 02: Thửa 202</t>
  </si>
  <si>
    <t>Mở rộng trường TH&amp;THCS xã Thụy Hùng</t>
  </si>
  <si>
    <t>Tờ số 32: Thửa 144; tờ LN thửa 160</t>
  </si>
  <si>
    <t>Xây mới điểm trường Hua Kiều, mầm non xã Gia Miễn</t>
  </si>
  <si>
    <t>Thôn Cương Quyết</t>
  </si>
  <si>
    <t>Tờ 149 thửa 88; Tờ LN1 thửa 475</t>
  </si>
  <si>
    <t>Xây dựng các trường, điểm trường học trên địa bàn huyện</t>
  </si>
  <si>
    <t>XIII</t>
  </si>
  <si>
    <t>Đất xây dựng cơ sở thể dục thể thao</t>
  </si>
  <si>
    <t>Xây mới khu liên hợp thể thao và sân vận động huyện</t>
  </si>
  <si>
    <t>Tờ 45 thửa 49, 50, 51 ,60, 61, ..; Tờ 36 thửa 110, 111, 112,… (Tân Lang cũ)</t>
  </si>
  <si>
    <t>Phòng Văn hóa và thông tin huyện đăng ký</t>
  </si>
  <si>
    <t>Xây mới sân thể thao trung tâm xã Tân Thanh</t>
  </si>
  <si>
    <t>Thôn Nà Ngườm, Bản Thẩu</t>
  </si>
  <si>
    <t>Tờ 46: thửa 59, 63, 66, 76; 
Tờ 02 LN thửa 823</t>
  </si>
  <si>
    <t>Xây mới sân thể thao trung tâm xã Trùng Khánh</t>
  </si>
  <si>
    <t>Tờ 02 LN thửa 232, 246</t>
  </si>
  <si>
    <t>Thôn Nà Slảng</t>
  </si>
  <si>
    <t>Tờ LN 1 thửa 118, 125, 140</t>
  </si>
  <si>
    <t>Xây mới sân thể thao trung tâm xã Bắc Việt</t>
  </si>
  <si>
    <t>Tờ số 96: Thửa 138, 136, 144, 157, 191, 190,... (Trùng Quán cũ)</t>
  </si>
  <si>
    <t>Xây mới sân thể thao trung tâm xã Nhạc Kỳ</t>
  </si>
  <si>
    <t>Tờ 61 thửa 80, 81, 82, 83, 72, 73</t>
  </si>
  <si>
    <t>Xây mới sân thể thao trung tâm xã Hội Hoan</t>
  </si>
  <si>
    <t>Thôn Bản Miằng</t>
  </si>
  <si>
    <t>Tờ 102 thửa 13</t>
  </si>
  <si>
    <t>Xây mới sân thể thao trung tâm xã Hồng Thái</t>
  </si>
  <si>
    <t>Xây mới sân thể thao trung tâm xã Hoàng Văn Thụ</t>
  </si>
  <si>
    <t>Tờ 14 thửa 201, 202, 211, 210, 212, 213, 204, 203, 221, 222, 223, 224, 225, 215, 214, …</t>
  </si>
  <si>
    <t>Xây mới sân thể thao trung tâm xã Gia Miễn</t>
  </si>
  <si>
    <t>Tờ 1 LN thửa 445</t>
  </si>
  <si>
    <t>Xây mới sân thể thao trung tâm xã Thanh Long</t>
  </si>
  <si>
    <t>Tờ 40 thửa 286, 287, 288, 303, 304, 305. Tờ 41 thửa 104, 106.</t>
  </si>
  <si>
    <t>Xây mới sân thể thao trung tâm xã Bắc La</t>
  </si>
  <si>
    <t>Tờ 70 thửa 15,16,27,25,26,28 BĐLN tờ LN 01 thửa 90,108</t>
  </si>
  <si>
    <t>Xây mới sân thể thao trung tâm xã Tân Mỹ</t>
  </si>
  <si>
    <t>Tờ 60: Thửa 208,209,259,210,182,183</t>
  </si>
  <si>
    <t>Mở rộng sân thể thao trung tâm xã Thụy Hùng</t>
  </si>
  <si>
    <t>Tờ 47 thửa 5, 6, 7, 8, 9, 12 13, 14, 18</t>
  </si>
  <si>
    <t>Xây mới khu thể thao các thôn trên địa bàn xã Tân Thanh</t>
  </si>
  <si>
    <t>Các thôn: Nà Tồng, Bản Thẩu, Bản Đuốc, Nà Lầu, Nà Han, Nà Ngườm</t>
  </si>
  <si>
    <t>Tờ số 27: thửa 97; Tờ số 42: thửa 48; Tờ số 17: thửa 166; Tờ số 50: thửa 4,9; Tờ số 38: thửa 40, 52, 53; Tờ số 36: thửa 541, 555</t>
  </si>
  <si>
    <t>Xây mới khu thể thao các thôn trên địa bàn xã Trùng Khánh</t>
  </si>
  <si>
    <t xml:space="preserve">Thôn Pò Hà; Nà Tồng; Manh Dưới; Manh Trên; Bản Pẻn; Bản Cháu; Pá Tặp </t>
  </si>
  <si>
    <t>Tờ BĐLN 01: Thửa 596; Tờ 44: Thửa 66,67; Tờ 39: Thửa 45,55; Tờ BĐLN 01: Thửa 350, 372;Tờ BĐLN 01: Thửa 107; tờ 33, thửa 40;Tờ số 53: Thửa số 156; Tờ 117: Thửa 70; Mảnh trích do 17-2018</t>
  </si>
  <si>
    <t>UBND xã đăng ký; Phương án số 335/PA-TTPTQĐ ngày 29/6/2022 của TTPTQĐ huyện phương án sử dụng đất đối với các khu đất giao Trung tâm PTQĐ huyện Văn Lãng được Chủ tịch UBND huyện phê duyệt</t>
  </si>
  <si>
    <t>Xây mới khu thể thao các thôn trên địa bàn xã Tân Mỹ</t>
  </si>
  <si>
    <t>Thôn Pò Cại; Cốc Nam; Khun Đẩy; Nà Dẩn; Pò Chài; Nà Mò; Bản Chang; Khơ Đa; Tà Lài; Nà Lẹng; Nà Kéo Mới; Thống Nhất; Hợp Nhất; Khun Lùng</t>
  </si>
  <si>
    <t>Tờ 49 thửa 17, …; Tờ 121 thửa 241; Tờ 154 thửa 8; Tờ 2 LN thửa 1560; Tờ 137 thửa 1; Tờ 93 thửa 46; Tờ 40 thửa 33; Tờ 97 thửa 361 (tách từ thửa 39); Tờ 70 thửa 153; Tờ 31 thửa 118, 129; Tờ 1LN thửa 306; Tờ 93 thửa 81, 129; Tờ 50 thửa 262; Tờ 99 thửa 37</t>
  </si>
  <si>
    <t>Xây mới khu thể thao các thôn trên địa bàn xã Tân Tác</t>
  </si>
  <si>
    <t>Thôn Bản Tăm, Bản Cấn, Nà Luông, Bản Đang, Nà Mầm, Bản Giòong</t>
  </si>
  <si>
    <t>Tờ 1 LN thửa 806; Tờ 52 thửa 73; Tờ 73 thửa 67; Tờ LN1 thửa 492; Tờ 24 thửa 21; Tờ LN1 thửa 384</t>
  </si>
  <si>
    <t>Xây mới khu thể thao các thôn trên địa bàn xã Thành Hòa</t>
  </si>
  <si>
    <t>Thôn Tiên Phong; Khun Bủng; Pác Ca; Trung Thành</t>
  </si>
  <si>
    <t>Tờ 42 thửa 72, 97; Tờ LN1 thửa 906; Tờ 69 thửa 29; Tờ 4 thửa 17</t>
  </si>
  <si>
    <t>Xây mới khu thể thao các thôn trên địa bàn xã Bắc Việt</t>
  </si>
  <si>
    <t>Thôn Nà Lẹng; Bản Gioong; Khun Roọc; Vạn Xuân; Liên Kết; Bản Quan</t>
  </si>
  <si>
    <t>Tờ 22 thửa 354; Tờ 54 thửa 81, 101; Tờ số 23, Thửa 11 (Tân Lang cũ); Tờ 110 thửa 69; Tờ 77 thửa 168; Tờ LN 1 thửa 165</t>
  </si>
  <si>
    <t>Xây mới khu thể thao các thôn trên địa bàn xã Nhạc Kỳ</t>
  </si>
  <si>
    <t>Thôn Pá Đa; Còn Luông; Lương Thác; Còn Tẩu; Khun Phung; Nà Éc; Bản Chúc</t>
  </si>
  <si>
    <t>Tờ 54 thửa 54; Tờ 18 thửa 447; Tờ 51 thửa 116; Tờ 17 thửa 584; Tờ LN 01 thửa 290; Tờ 8 thửa 256; Tờ 25 thửa 153</t>
  </si>
  <si>
    <t>Xây mới khu thể thao các thôn trên địa bàn xã Hoàng Việt</t>
  </si>
  <si>
    <t>Thôn Pò Pheo, Tà Pịac, Kéo Phẩu, Còn Noọc, Cốc Hắt, Bản Lè, Nà Quan, Bản Ỏ, Nà Tềnh, Nà Phai</t>
  </si>
  <si>
    <t>Tờ số 67: Thửa 360; Thửa số 111: Tờ 32; Tờ 67 thửa 343; Tờ số 82: Thửa 137, 259; Tờ 44 thửa 327; BĐLN 02: Thửa 381; Tờ số 63: Thửa 35; Tờ số 137: Thửa 39; Tờ 69 thửa 419; Tờ 32: Thửa 216; Tờ 57 thửa 24; Tờ 34 thửa 304; Tờ 11 thửa 195</t>
  </si>
  <si>
    <t>Xây mới khu thể thao các thôn trên địa bàn xã Hội Hoan</t>
  </si>
  <si>
    <t>Thôn Bản Bẻng; Hòa Lạc; Khuổi Toọc; Bản Kìa</t>
  </si>
  <si>
    <t>Tờ 88 thửa 26 (Hội Hoan cũ); Tờ 27 thửa 223 (Nam La cũ); Tờ 28 thửa 45, 55, 60, 61; Tờ 125 thửa 139, 154, 171; Tờ 44 thửa 370, 371; Tờ 45 thửa 140, 141, 149</t>
  </si>
  <si>
    <t>Xây mới khu thể thao các thôn trên địa bàn xã Hồng Thái</t>
  </si>
  <si>
    <t>Thôn Pác Pó, Pác Sàng, Lùng Đúc, Bản Nhùng, Lũng Mười, Lậu Cáy, Nà Danh</t>
  </si>
  <si>
    <t>Tờ 59 thửa 69; Tờ 51 thửa 376; Tờ 47 thửa 124, 133, 134; Tờ 01LN thửa 600; Tờ LN 01 thửa 510; Tờ 18 thửa 45,46; Tờ LN 01 thửa 109</t>
  </si>
  <si>
    <t>Xây mới khu thể thao các thôn trên địa bàn xã Hoàng Văn Thụ</t>
  </si>
  <si>
    <t>Xây mới khu thể thao các thôn trên địa bàn xã Gia Miễn</t>
  </si>
  <si>
    <t>Thôn Quảng Sơn; Quảng Lộng; Bình Lập; Cương Quyết; Phai Nà; Cốc Nhảng; Pò Mánh</t>
  </si>
  <si>
    <t>Tờ 116 thửa 134; Tờ 159 thửa 10, 11, 19; Tờ 40 thửa 31, 32, 33; Tờ 41 thửa 69; Tờ 126 thửa 69, 74, 73, 83; Tờ 88 thửa 72; Tờ 162 thửa 55, 56, 57, 58, 59, 60, 61, 77; Tờ 68 thửa 37, 38</t>
  </si>
  <si>
    <t>Xây mới khu thể thao các thôn trên địa bàn xã Thanh Long</t>
  </si>
  <si>
    <t>Xây mới khu thể thao các thôn trên địa bàn xã Thụy Hùng</t>
  </si>
  <si>
    <t>Thôn Na Hình; Còn Ngòa; Nà Luông Nà So; Bản Tả; Cúc Lùng; Bản Mới</t>
  </si>
  <si>
    <t>Tờ 15 thửa 119; Tờ LN 02 thửa 229, 246; Tờ 95 thửa 229; Tờ 65 thửa 158; Tờ 44 thửa 37; BĐLN 01: Thửa 432</t>
  </si>
  <si>
    <t>XIV</t>
  </si>
  <si>
    <t>Đất công trình năng lượng</t>
  </si>
  <si>
    <t>Thủy điện Đèo Khách (Quy mô 291,37 ha)</t>
  </si>
  <si>
    <t>Xã Bắc Hùng, Xã Bắc Việt, TT Nà Sầm</t>
  </si>
  <si>
    <t>Quyết định số 1861/QĐ-UBND ngày 27/9/2019 của Ủy ban nhân dân tỉnh</t>
  </si>
  <si>
    <t>Nhà máy điện gió Văn Lãng 1 (90MW)</t>
  </si>
  <si>
    <t>Xã Tân Thanh, xã Thanh Long</t>
  </si>
  <si>
    <t>Văn bản số 679/SCT-QLNL ngày 28/4/2022 của Sở công thương</t>
  </si>
  <si>
    <t>Nhà máy điện gió Bình Gia (80MW)
(Quy mô 7,53 ha)</t>
  </si>
  <si>
    <t>Công văn số  1343 /PCLS-BQLDA+VP+TTBVPC +KHVT+KT  ngày 06 tháng 7 năm 2022 của Công ty Điện lực Lạng Sơn</t>
  </si>
  <si>
    <t>Thủy điện Bản Nhùng (Kỳ cùng 6)</t>
  </si>
  <si>
    <t>Xã Hoàng Việt, Hồng Thái</t>
  </si>
  <si>
    <t>Công văn số 576/SCT-QLNL ngày 13/4/2022 V/v cung cấp thông tin phân bổ chỉ tiêu sử dụng đất đến 2030, Kế hoạch sử dụng đất đến năm 2030 đối với các dự án Năng lượng và cụm công nghiệp</t>
  </si>
  <si>
    <t>Đường dây 110kV từ 220kV Lạng Sơn - Đồng Đăng (mạch 2)</t>
  </si>
  <si>
    <t>Căn cứ Quyết định số 2088/QĐ-EVNNPC ngày 16/7/2019 của Tổng công ty Điện lực miền Bắc về việc: Duyệt bổ sung  danh mục kế hoạch đầu tư xây dựng năm 2019 cho Ban QLDAPT Điện lực.</t>
  </si>
  <si>
    <t>Cấy máy biến áp CQT giảm bán kính cấp điện cho TBA Miễn thuế 1</t>
  </si>
  <si>
    <t>Nhà trực vận hành điện khu vực xã Hoàng Việt</t>
  </si>
  <si>
    <t>Tờ 69: Thửa 330,153,156,185,186,187,…</t>
  </si>
  <si>
    <t>Cấy máy biến áp CQT giảm bán kính cấp điện cho TBA Bản Nam</t>
  </si>
  <si>
    <t>Cải tạo đường dây 110kV Đồng Đăng- Thác Xăng- Tràng Định</t>
  </si>
  <si>
    <t>Xã Hoàng Việt, Bắc Việt</t>
  </si>
  <si>
    <t>Công văn 1209/PCLS-BQLDA Về việc đăng ký chính thức quy hoạch sử dụng đất các dự án đất năng lượng giai đoạn 2021-2030</t>
  </si>
  <si>
    <t>Xây dựng đường dây 110kV Đồng Đăng- Thác Xăng- Tràng Định (mạch 2)</t>
  </si>
  <si>
    <t>Cấy máy biến áp CQT giảm bán kinh cấp điện cho TBA Bình Dân</t>
  </si>
  <si>
    <t>Cấy máy biến áp CQT giảm bán kinh cấp điện cho TBA UB Hội Hoan</t>
  </si>
  <si>
    <t>Nâng cao độ tin cậy cung cấp điện của lưới điện trung áp 35kV tỉnh Lạng Sơn theo phương án đa chia, đa nối (MDMC) khu vực Cao Lộc, Văn Lãng, Tràng Định</t>
  </si>
  <si>
    <t>Cấy MBA CQT giảm tổn thất, xử lý điện áp thấp khu vực huyện Hữu Lũng, Văn Lãng</t>
  </si>
  <si>
    <t>Cấy máy biến áp CQT giảm bán kính cấp điện cho TBA UB Tân Tác</t>
  </si>
  <si>
    <t>Cấy máy biến áp CQT giảm bán kính cấp điện cho TBA An Hùng</t>
  </si>
  <si>
    <t>Cấy máy biến áp CQT giảm bán kính cấp điện cho trạm biến áp Pác Luống</t>
  </si>
  <si>
    <t>Cấy MBA giảm bán kính cấp điện cho TBA UB Thụy Hùng</t>
  </si>
  <si>
    <t>Cấy máy biến áp cấp điện thôn Thanh Hảo</t>
  </si>
  <si>
    <t>Cấy MBA giảm bán kính cấp điện cho TBA Bản Cáu</t>
  </si>
  <si>
    <t>Đường dây 110kV và TBA 110kV Văn Lãng</t>
  </si>
  <si>
    <t>Cải tạo NR Hoàng Việt - Thụy Hùng thuộc lộ 377E13.6</t>
  </si>
  <si>
    <t>Xã Thanh Long, Thụy Hùng</t>
  </si>
  <si>
    <t xml:space="preserve">Nâng công suất MBA phân phối đảm bảo cấp điện mùa nắng nóng </t>
  </si>
  <si>
    <t>Xuất tuyến trung áp sau TBA 110kV Văn Lãng</t>
  </si>
  <si>
    <t>ĐZ 220kV Lạng Sơn- Cao Bằng</t>
  </si>
  <si>
    <t>Cấy TBA CQT giảm bán kính, giảm tổn thất điện năng khu vực huyện Văn Lãng, Tràng Định năm 2023</t>
  </si>
  <si>
    <t>Công văn số  2368/PCLS-BQLDA+VP+TTBVPC +KHVT+KT  ngày 02 tháng 11 năm 2022 của Công ty Điện lực Lạng Sơn</t>
  </si>
  <si>
    <t>Nâng cao năng lực mạch vòng đường dây trung áp huyện Văn Lãng</t>
  </si>
  <si>
    <t>Cấy TBA CQT lưới điện, giảm tổn thất điện năng khu vực các xã, thị trấn thuộc huyện Văn Lãng năm 2023</t>
  </si>
  <si>
    <t xml:space="preserve">Chống quá tải lưới điện </t>
  </si>
  <si>
    <t>ĐZ trung thế, TBA và ĐZ hạ áp</t>
  </si>
  <si>
    <t>Công trình năng lượng</t>
  </si>
  <si>
    <t>XV</t>
  </si>
  <si>
    <t>Đất công trình Bưu chính viễn thông</t>
  </si>
  <si>
    <t>Xây mới bưu điện xã</t>
  </si>
  <si>
    <t>Tờ 104 thửa 1, 2, 3, 10</t>
  </si>
  <si>
    <t>Tờ 51 thửa 51</t>
  </si>
  <si>
    <t>Tờ 11 thửa 88</t>
  </si>
  <si>
    <t>Tờ 52 thửa 21</t>
  </si>
  <si>
    <t>Tờ 75</t>
  </si>
  <si>
    <t>Xây mới Trạm phát sóng Viettel</t>
  </si>
  <si>
    <t>Thôn Nà Pục, Phiêng Luông, Nà Sòm</t>
  </si>
  <si>
    <t>Tờ BĐLN số 1 thửa 33; 288; Tờ LN số 3 thửa 397</t>
  </si>
  <si>
    <t>Xây dựng các công trình bưu chính viễn thông</t>
  </si>
  <si>
    <t>XVI</t>
  </si>
  <si>
    <t>Đất di tích lịch sử văn hóa</t>
  </si>
  <si>
    <t>Xây dựng di tích đồn Tây</t>
  </si>
  <si>
    <t xml:space="preserve">Khu 1 </t>
  </si>
  <si>
    <t>Tờ số 24: Thửa 7; Tờ số 25: Thửa 45 (NS)</t>
  </si>
  <si>
    <t>Mở rộng chùa Thanh Hương (Tà Lài)</t>
  </si>
  <si>
    <t>Tờ 61 thửa 80, 81, 82, 83, 61, 62, 63, 78, 44; Tờ 60 thửa 153, 160, 156; LN 2 thửa 19</t>
  </si>
  <si>
    <t>Mở rộng khu lưu niệm và khu mộ phụ thân, phụ mẫu đồng chí Hoàng Văn Thụ</t>
  </si>
  <si>
    <t>XVII</t>
  </si>
  <si>
    <t>Đất bãi thải, xử lý chất thải</t>
  </si>
  <si>
    <t>Trạm trung chuyển thu gom rác thải sinh hoạt trước khi vận chuyển đến nơi xử lý</t>
  </si>
  <si>
    <t>Tờ số 22: Thửa 9 (Hoàng Việt cũ)</t>
  </si>
  <si>
    <t xml:space="preserve">Công ty TNHH MTV Tâm Đức LS </t>
  </si>
  <si>
    <t>Xây dựng khu xử lý rác thải tập trung y tế bằng công nghệ đốt áp suất âm không khói</t>
  </si>
  <si>
    <t>Thôn Kéo Van</t>
  </si>
  <si>
    <t>Quyết định số 2423/QĐ-UBND ngày 13/12/2021 của UBND tỉnh</t>
  </si>
  <si>
    <t>Mở mới điểm thu gom rác thải tại các thôn</t>
  </si>
  <si>
    <t>BĐLN 01: Thửa 579, 329 (Tân Lang cũ)</t>
  </si>
  <si>
    <t>Mở mới điểm thu gom rác xã Thành Hòa</t>
  </si>
  <si>
    <t>Thôn Thống Nhất, Tiên Phong, Công Lý</t>
  </si>
  <si>
    <t>Mở mới bãi rác trung tâm xã Hồng Thái</t>
  </si>
  <si>
    <t>Xóm Phạ Lác</t>
  </si>
  <si>
    <t>Tờ 16 thửa 88. 89, 90, 91, 93, 94, 95, 97, 98, 99, 100, 103, 83 tờ 17 thửa 101, 102; tờ 23 thửa 1,2,3,4 tờ 24 thửa 1,3,5,11,13</t>
  </si>
  <si>
    <t>Mở mới bãi rác xã Bắc Hùng</t>
  </si>
  <si>
    <t>Mở mới bãi rác xã Thụy Hùng</t>
  </si>
  <si>
    <t>BĐLN 02: Thửa 139</t>
  </si>
  <si>
    <t>Bãi đổ thải</t>
  </si>
  <si>
    <t>Thôn Thống Nhất, Thôn Công Lý</t>
  </si>
  <si>
    <t>Tờ 1 LN thửa 310, ;Tờ 12 thửa 37, 75, 56, 77; Tờ 91 thửa 43, 54, 37,…</t>
  </si>
  <si>
    <t>Thôn Vạn Xuân, Kéo Van</t>
  </si>
  <si>
    <t>BĐLN 01: Thửa 642 (Trùng Quán cũ); BĐLN 01: Thửa 839,857 (Tân Lang cũ)</t>
  </si>
  <si>
    <t>Thôn Bản Đuốc</t>
  </si>
  <si>
    <t>Tờ số 33: Thửa 44, 45, 46, 88, 81,…
BĐLN 01: Thửa 588</t>
  </si>
  <si>
    <t>BĐLN 02: Thửa 148, 217</t>
  </si>
  <si>
    <t>Thôn Cốc Nam</t>
  </si>
  <si>
    <t>Tờ 130 thửa 166, 167, 168, 169,...</t>
  </si>
  <si>
    <t>Thôn Nà Luông</t>
  </si>
  <si>
    <t>Tờ LN số 1 thửa 690, 666, 657, 678, 692; Tờ 54 thửa 25, 26, 27, 28, 29, 30, 31, 32, 33, 34, 35, 36, 37, 38, 39, 40, 41, 42, 43, 44, 45…; Tờ 64 thửa 3,4,7, 55</t>
  </si>
  <si>
    <t>Tờ 1 LN thửa 880</t>
  </si>
  <si>
    <t>Thôn Tà Pịac, Nà Mạt</t>
  </si>
  <si>
    <t>BĐLN 02: Thửa 489; Tờ 75 thửa 124, 125, 122, 121, …; Tờ số 44: Thửa 362</t>
  </si>
  <si>
    <t>Thôn Háng Van, 
Bản Kìa</t>
  </si>
  <si>
    <t>Tờ 123 thửa 25, 13,14,15,16,17,18,19,20, 21, 22 (Hội Hoan cũ)</t>
  </si>
  <si>
    <t>Thôn Lũng Vài, Bản Hu</t>
  </si>
  <si>
    <t>BĐLN 02: Thửa 116, 44, 50 (Trùng Quán cũ). Tờ LN 01 thửa 358, 376, 459 (Tân Lang cũ)</t>
  </si>
  <si>
    <t>Tờ 1 LN thửa 751, 752, 770, 786. Tờ 68 thửa 71, 72, 73, 75, 47, 53</t>
  </si>
  <si>
    <t>Tờ 86 thửa 1, 4, 8, 9, 13, 14. Tờ 85 thửa 4, 5, 9, 10; Tờ 1 LN thửa 441, 462</t>
  </si>
  <si>
    <t>BĐLN 02: Thửa 195, 196; Tờ 51 thửa 2, 3, 4; Tờ 35 thửa 83, 84</t>
  </si>
  <si>
    <t>Thôn Lũng Mười</t>
  </si>
  <si>
    <t>Tờ LN1 thửa 526, 534, 540, 535, 525, 522, 521</t>
  </si>
  <si>
    <t>XVIII</t>
  </si>
  <si>
    <t>Đất nghĩa trang, nghĩa địa, nhà tang lễ, nhà hỏa táng</t>
  </si>
  <si>
    <t>Mở rộng Nghĩa trang liệt sỹ huyện Văn Lãng</t>
  </si>
  <si>
    <t>BĐLN 01: Thửa 358 (Tân Lang cũ)</t>
  </si>
  <si>
    <t>Khu nghĩa trang nhân dân phục vụ dự án đầu tư xây dựng hạ tầng kỹ thuật và nhà xưởng Phúc Khang</t>
  </si>
  <si>
    <t>Tờ LN1 thửa 313, 336, ...; Tờ LN02 thửa 318, 331, 360, 361, ...</t>
  </si>
  <si>
    <t>Quyết định số 1408/QĐ-UBND ngày 11/5/2022 của UBND huyện Văn Lãng</t>
  </si>
  <si>
    <t>Xây dựng nghĩa địa thị trấn Na Sầm</t>
  </si>
  <si>
    <t>BĐLN 01: Thửa 269, 287, 276, 245, 303 (Hoàng Việt cũ)</t>
  </si>
  <si>
    <t>Xây dựng nghĩa địa xã Hoàng Việt</t>
  </si>
  <si>
    <t>Thôn Pò Pheo</t>
  </si>
  <si>
    <t>BĐLN tờ số 2 thửa 382,384, 396, 414, 415, 426, 437</t>
  </si>
  <si>
    <t>Xây dựng nghĩa địa xã Hoàng Văn Thụ</t>
  </si>
  <si>
    <t>Thôn Bó Chầu</t>
  </si>
  <si>
    <t>Xây dựng nghĩa địa xã Tân Tác</t>
  </si>
  <si>
    <t>Thôn Bản Đang</t>
  </si>
  <si>
    <t>Tờ BĐLN 01, thửa 494</t>
  </si>
  <si>
    <t>Xây dựng nghĩa địa xã Thanh Long</t>
  </si>
  <si>
    <t>Tờ LN2 thửa 109</t>
  </si>
  <si>
    <t>Xây dựng nghĩa địa xã Trùng Khánh</t>
  </si>
  <si>
    <t>Tờ BĐLN02, thửa 197</t>
  </si>
  <si>
    <t>Xây dựng nghĩa địa xã Thụy Hùng</t>
  </si>
  <si>
    <t>Tờ LN1 thửa 423</t>
  </si>
  <si>
    <t>Xây dựng nghĩa địa xã Bắc Việt</t>
  </si>
  <si>
    <t>BĐLN 01: Thửa 654, 660 (Tân Lang cũ)</t>
  </si>
  <si>
    <t>Mở rộng nghĩa địa thôn Bản Quan</t>
  </si>
  <si>
    <t>Thôn Bản Quan</t>
  </si>
  <si>
    <t>BĐLN 01: Thửa 134 (Tân Việt cũ)</t>
  </si>
  <si>
    <t>Mở rộng nghĩa địa xã Tân Thanh</t>
  </si>
  <si>
    <t>BĐLN 01: Thửa 839, 853</t>
  </si>
  <si>
    <t>XIX</t>
  </si>
  <si>
    <t>Đất xây dựng cơ sở dịch vụ xã hội</t>
  </si>
  <si>
    <t>Xây dựng cơ sở trợ giúp xã hội huyện Văn Lãng</t>
  </si>
  <si>
    <t>Thôn Bản Làng</t>
  </si>
  <si>
    <t>BĐLN 01: Thửa 111, 112, 131, 132, 105 (Tân Lang cũ);</t>
  </si>
  <si>
    <t>CV số 2075/UBND-LDTBXH ngày 21/08/2020 của UBND huyện</t>
  </si>
  <si>
    <t>XX</t>
  </si>
  <si>
    <t>Đất chợ</t>
  </si>
  <si>
    <t>Xây dựng chợ xã Bắc Việt</t>
  </si>
  <si>
    <t>Tờ số 104: Thửa 1, 3, 4, 10, 8, 7, 11, 12, 16, 15, 18, 17 (Trùng Quán cũ)</t>
  </si>
  <si>
    <t>Xây dựng chợ Pá Tặp</t>
  </si>
  <si>
    <t>BDDC tờ 117, 118; BĐLN 01</t>
  </si>
  <si>
    <t>XXI</t>
  </si>
  <si>
    <t>Đất sinh hoạt cộng đồng</t>
  </si>
  <si>
    <t>Xây mới, mở rộng nhà văn hóa các khu, thôn trên địa bàn xã Tân Thanh</t>
  </si>
  <si>
    <t xml:space="preserve"> Khu I, II; Thôn Bản Thẩu; Nà Ngườm; Nà Han</t>
  </si>
  <si>
    <t>Tờ 47, thửa 351; Tờ số 42: Thửa 36; Tờ số 36: Thửa 555,541; Tờ 38: Thửa 46</t>
  </si>
  <si>
    <t>Xây mới, mở rộng nhà văn hóa các thôn trên địa bàn xã Trùng Khánh</t>
  </si>
  <si>
    <t>Thôn Bản Pẻn; Manh Dưới</t>
  </si>
  <si>
    <t>Tờ 34 thửa 136, 218, 217, 173,…; Tờ số 39: Thửa 86, 85</t>
  </si>
  <si>
    <t>Xây mới nhà văn hóa thôn Bản Chang xã Tân Mỹ</t>
  </si>
  <si>
    <t>Thôn Bản Chang</t>
  </si>
  <si>
    <t>Tờ 32 thửa 372</t>
  </si>
  <si>
    <t>Xây mới, mở rộng nhà văn hóa các thôn trên địa bàn xã Tân Tác</t>
  </si>
  <si>
    <t>Thôn Bản Cấn; Bản Tăm; Bản Gioòng</t>
  </si>
  <si>
    <t>Tờ 1 LN thửa 614, 602;  Tờ 1 LN thửa 806; Tờ 1 LN thửa 412</t>
  </si>
  <si>
    <t>Xây mới, mở rộng nhà văn hóa các thôn trên địa bàn xã Thành Hòa</t>
  </si>
  <si>
    <t>Thôn Thôn Thống Nhất; Khun Bủng; Tiên Phong</t>
  </si>
  <si>
    <t>Tờ 34 thửa 32, 36, Tờ 1 LN thửa 298, 286; Tờ 1 LN thửa 906, 911; Tờ 1 LN thửa 435, 434</t>
  </si>
  <si>
    <t>Xây mới nhà văn hóa các thôn trên địa bàn xã Hội Hoan</t>
  </si>
  <si>
    <t>Thôn Khuổi Toọc; Co Tào; Bình Độ; Bản Miằng; Hòa Lạc; Cốc Lào; Háng Van</t>
  </si>
  <si>
    <t>Xây mới, mở rộng nhà văn hóa các thôn trên địa bàn xã Bắc Việt</t>
  </si>
  <si>
    <t>Thôn Bản Quan; Liên Kết; Nà Lẹng; Tà Coóc; Vạn Xuân; Liên Hợp; Kéo Van; Bản Làng; Khun Rọoc</t>
  </si>
  <si>
    <t>Tờ 13 thửa 251 (Tân Việt cũ); Tờ 77 (Tân Việt cũ); Tờ 34 Thửa 234, 268 (Tân Việt cũ); Tờ 25 Thửa 289 (Tân Lang cũ); Tờ 56 Thửa 46 (Trùng Quán cũ); BĐLN 01 Thửa 910, 929, 922; Tờ  10 Thửa 311 (Tân Lang cũ); Tờ 23 Thửa 251 (Tân Lang)</t>
  </si>
  <si>
    <t>Xây mới, mở rộng nhà văn hóa các thôn trên địa bàn xã Nhạc Kỳ</t>
  </si>
  <si>
    <t>Tờ 22 thửa 199; Tờ 8 thửa 240; Tờ 54 thửa 55, 312;Tờ 18 thửa 490, 491; Tờ 51 thửa 117, 129</t>
  </si>
  <si>
    <t>Xây mới, mở rộng nhà văn hóa các thôn trên địa bàn xã Hoàng Việt</t>
  </si>
  <si>
    <t>Thôn Bản Lè; Nà Tềnh; Nà Quan; Bản Ỏ</t>
  </si>
  <si>
    <t>BĐLN 02 thửa 381, 392; Tờ 69 thửa 419; Tờ 76 thửa 24,183; BĐLN 02 thửa 1042</t>
  </si>
  <si>
    <t>Thôn Lùng Đúc</t>
  </si>
  <si>
    <t>Tờ 47 thửa 133, 134, 124</t>
  </si>
  <si>
    <t>Xây mới, mở rộng nhà văn hóa các khu trên địa bàn thị trấn Na Sầm</t>
  </si>
  <si>
    <t>Khu 9; Khu 1; Khu 6</t>
  </si>
  <si>
    <t>Tờ số 56: Thửa 101 (Tân Lang cũ); Tờ số 17 thửa 65,… (NS); Tờ số 35: thửa 331, 333 (xã Hoàng Việt cũ)</t>
  </si>
  <si>
    <t>Xây mới nhà văn hóa các thôn trên địa bàn xã Gia Miễn</t>
  </si>
  <si>
    <t>Thôn Quảng Sơn; Bản Cáp; Bình Lập; Cương Quyết</t>
  </si>
  <si>
    <t>Tờ LN2 thửa 320, 308; Tờ 52 thửa 9; Tờ LN1 thửa 155; Tờ 126 thửa 82, 73, 74, 83</t>
  </si>
  <si>
    <t>Xây mới nhà văn hóa các thôn trên địa bàn xã Thanh Long</t>
  </si>
  <si>
    <t>Thôn Nà Vạc</t>
  </si>
  <si>
    <t>Tờ 120 thửa 875</t>
  </si>
  <si>
    <t>Xây mới, mở rộng nhà văn hóa các thôn trên địa bàn xã Thụy Hùng</t>
  </si>
  <si>
    <t>Thôn Bản Tả; Bản Mới</t>
  </si>
  <si>
    <t>Tờ số 65 thửa 158, 15; BĐLN 01: Thửa 432</t>
  </si>
  <si>
    <t>Xây mới, mở rộng nhà văn hóa các thôn trên địa bàn xã Bắc La</t>
  </si>
  <si>
    <t>Tờ số 123: Thửa 18; Tờ số 27: Thửa 10, 11, 12, Tờ số 28: Thửa 10; Tờ 36 thửa 175; Tờ số 31: Thửa 77; Tờ số 23: Thửa 14; Tờ số 110: Thửa 75; Tờ số 72: Thửa 150</t>
  </si>
  <si>
    <t>XXIII</t>
  </si>
  <si>
    <t>Đất khu vui chơi giải trí công cộng</t>
  </si>
  <si>
    <t>Công viên cây xanh thị trấn Na Sầm</t>
  </si>
  <si>
    <t>Tờ 12, 18 (NS)</t>
  </si>
  <si>
    <t>Đất khuôn viên cây xanh các khu, thôn trên địa bàn xã</t>
  </si>
  <si>
    <t>Tờ 26 thửa 334, 335, 336, 333, 314, 298, 299, …; LN1 thửa 355, 356, 322, 359, …</t>
  </si>
  <si>
    <t>Tờ 38 thửa 45, 63, 64</t>
  </si>
  <si>
    <t>Tờ 44 thửa 67</t>
  </si>
  <si>
    <t>Tờ 01LN thửa 620</t>
  </si>
  <si>
    <t>Thôn Na Hình</t>
  </si>
  <si>
    <t>Tờ 47 thửa 14, 18</t>
  </si>
  <si>
    <t>XXIV</t>
  </si>
  <si>
    <t>Đất ở</t>
  </si>
  <si>
    <t>Dự án khu đô thị</t>
  </si>
  <si>
    <t>Dự án khu đô thị thương mại dịch vụ Tây Đồng Đăng</t>
  </si>
  <si>
    <t>Thôn Pò Chài</t>
  </si>
  <si>
    <t>Tờ LN 02 thửa 1734, 1741; BDDC tờ 128, 129, 137, 138</t>
  </si>
  <si>
    <t>Dự án xây dựng khu đô thị phía nam thị trấn Na Sầm</t>
  </si>
  <si>
    <t>Khu 5, 6, 7</t>
  </si>
  <si>
    <t>Dự án khu dân cư mới</t>
  </si>
  <si>
    <t xml:space="preserve">Dự án đầu tư Hạ tầng kỹ thuật khu dân cư khu 7, thị trấn Na Sầm </t>
  </si>
  <si>
    <t>Đầu tư công của huyện</t>
  </si>
  <si>
    <t xml:space="preserve">Dự án đầu tư Hạ tầng kỹ thuật khu dân cư khu 5, thị trấn Na Sầm </t>
  </si>
  <si>
    <t>Tờ 33, 34, 37, 38 (NS)</t>
  </si>
  <si>
    <t>Dự án xây dựng khu dân cư mới khu II thị trấn Na Sầm (GĐ1)</t>
  </si>
  <si>
    <t>Tờ 25, 26, 31, 32 (NS)</t>
  </si>
  <si>
    <t>Dự án xây dựng khu dân cư mới Hoàng Việt</t>
  </si>
  <si>
    <t>Thị trấn Na Sầm, 
xã Hoàng Việt</t>
  </si>
  <si>
    <t>Khu 1, 4 (TT. Na Sầm); Thôn Nà Phai (Hoàng Việt)</t>
  </si>
  <si>
    <t>Tờ 19, 20, 25, 26 (Hoàng Việt)</t>
  </si>
  <si>
    <t>Dự án Trung tâm thương mại dịch vụ kết hợp khu dân cư khu 04, thị trấn Na Sầm</t>
  </si>
  <si>
    <t>Khu 4</t>
  </si>
  <si>
    <t>Tờ 27, 28</t>
  </si>
  <si>
    <t>Trung tâm thương mại dịch vụ</t>
  </si>
  <si>
    <t>Chợ khu vực</t>
  </si>
  <si>
    <t>Nhà văn hoá sinh hoạt cộng đồng</t>
  </si>
  <si>
    <t>Đất công cộng khác</t>
  </si>
  <si>
    <t>Dự án xây dựng khu dân cư Tân Thanh (Khu I)</t>
  </si>
  <si>
    <t>Dự án xây dựng khu dân cư Tân Thanh (Khu II)</t>
  </si>
  <si>
    <t>Dự án khu dân cư nông thôn mới</t>
  </si>
  <si>
    <t>Tờ LN1 thửa 593, 607, 630, 652, 669, 693, 704, 773, 752, 767, 775</t>
  </si>
  <si>
    <t>Dự án khu dân cư nông thôn mới thôn Cốc Nam</t>
  </si>
  <si>
    <t>BĐLN 2: thửa 1588, 1640, 1737</t>
  </si>
  <si>
    <t>Tờ 109; tờ 121; Tờ LN 2</t>
  </si>
  <si>
    <t>Dự án khu dân cư nông thôn mới thôn Hợp Nhất</t>
  </si>
  <si>
    <t>Thôn Hợp Nhất (Háng Mới cũ)</t>
  </si>
  <si>
    <t>Tờ 49, 50</t>
  </si>
  <si>
    <t>Dự án khu dân cư nông thôn mới thôn Nà Lẹng</t>
  </si>
  <si>
    <t>Tờ 23 thửa 323, 285.Tờ 32 thửa 30, 81, 82</t>
  </si>
  <si>
    <t xml:space="preserve">Dự án khu dân cư nông thôn mới thôn Hợp Nhất </t>
  </si>
  <si>
    <t>Thôn Hợp Nhất (Nà Pục cũ)</t>
  </si>
  <si>
    <t>Dự án khu dân cư nông thôn mới thôn Lương Thác</t>
  </si>
  <si>
    <t>Tờ 61 thửa 32, 33, 45, 46, 44, 59, 65, 74, 75, 76, 8, 10, 16, 13, 14, 15, 36, 37, 38, 39, 40, 41, 43, 60, 61, 62, 63,  …</t>
  </si>
  <si>
    <t>Dự án khu dân cư nông thôn mới thôn Nà Phai</t>
  </si>
  <si>
    <t>Thôn Nà Phai (gần trụ sở UBND xã)</t>
  </si>
  <si>
    <t>Tờ 26 thửa 139, 140, 327, 328, 330, 165, 332, 164, 148, 162, 175, 190, 192, 180, 186, 208</t>
  </si>
  <si>
    <t>Tái định cư</t>
  </si>
  <si>
    <t>Dự án khu tái định cư phục vụ các dự án trên địa bàn xã Tân Mỹ</t>
  </si>
  <si>
    <t>UBND huyện đăng ký</t>
  </si>
  <si>
    <t>Đấu giá</t>
  </si>
  <si>
    <t>Đấu giá đất ở trên địa bàn các xã</t>
  </si>
  <si>
    <t>Khu 1; Thôn Nà Lầu</t>
  </si>
  <si>
    <t>Tờ số 18: Thửa 53; Tờ số 108: Thửa 161; Tờ số 96: Thửa 90; Tờ số 82: Thửa 54; Tờ số 33: Thửa 55; Tờ số 34: Thửa 83</t>
  </si>
  <si>
    <t>Thôn Quyết Thắng</t>
  </si>
  <si>
    <t>Tờ 25 thửa 518</t>
  </si>
  <si>
    <t>Đấu giá đất ở thị trấn Na Sầm</t>
  </si>
  <si>
    <t>Khu 3 (Ao Cạn); Khu 7</t>
  </si>
  <si>
    <t>Tờ 16 thửa 10, 4, Tờ 17 thửa 101 (NS); Tờ 16 thửa 234 (Hoàng Việt cũ)</t>
  </si>
  <si>
    <t>Chuyển mục đích</t>
  </si>
  <si>
    <t>Chuyển mục đích sang đất ở tại thị trấn Na Sầm</t>
  </si>
  <si>
    <t>TT Na Sầm</t>
  </si>
  <si>
    <t>Các khu</t>
  </si>
  <si>
    <t>Chuyển mục đích sang đất ở nông thôn trên địa bàn xã</t>
  </si>
  <si>
    <t>Giao đất</t>
  </si>
  <si>
    <t>Giao đất ở nông thôn cho hộ gia đình, cá nhân</t>
  </si>
  <si>
    <t>Thôn Nà Lầu</t>
  </si>
  <si>
    <t>Tờ số 55: Thửa 163, 215</t>
  </si>
  <si>
    <t>XXV</t>
  </si>
  <si>
    <t>Đất xây dựng trụ sở cơ quan</t>
  </si>
  <si>
    <t>Xây mới khối cơ quan huyện</t>
  </si>
  <si>
    <t>Tờ 23 thửa 21, 22, 23, 24,…; Tờ 22 thửa 01, 10, 19, 16, 15, 24, 02,…; Tờ LN1 thửa 319, 302, 307, 342,…</t>
  </si>
  <si>
    <t>Xây dựng trụ sở Viện kiểm sát nhân dân huyện Văn Lãng</t>
  </si>
  <si>
    <t>Tờ 28 thửa 149, 178, 177, 266, 256,…; Tờ 29 thửa 17, 18, 85, 95,… (Hoàng Việt cũ)</t>
  </si>
  <si>
    <t>Quyết định số 116/QĐ-VKSTC ngày 26/7/2021 của VKSNDTC</t>
  </si>
  <si>
    <t>Xây mới trụ sở chi cục thi hành án</t>
  </si>
  <si>
    <t>Tờ 23 thửa 1, 2, 3, 5; Tờ LN1 thửa 244, 484, 233, 253 (Hoàng Việt)</t>
  </si>
  <si>
    <t>Chi cục thi hành án dân sự huyện Văn Lãng</t>
  </si>
  <si>
    <t>Xây mới trụ sở UBND xã Bắc Việt</t>
  </si>
  <si>
    <t>Tờ 96 thửa 70, 56, 69, 68, 80, 97, 79,… (Trùng Quán cũ)</t>
  </si>
  <si>
    <t>Xây mới trụ sở UBND xã Thụy Hùng</t>
  </si>
  <si>
    <t>Tờ LN1 thửa 178, 163</t>
  </si>
  <si>
    <t>Xây mới trụ sở UBND xã Hoàng Việt</t>
  </si>
  <si>
    <t>Thôn Kéo Phầư</t>
  </si>
  <si>
    <t>Tờ 68 thửa 10, 11, 13, 14, 15, 16, 63, 64, 93</t>
  </si>
  <si>
    <t>Xây mới trụ sở UBND xã Bắc La</t>
  </si>
  <si>
    <t>Tờ 70 thửa 12, 13, 14, 15, 19, 24, 25, 26, 28, 64, 41, 101, 102, …</t>
  </si>
  <si>
    <t>Nghị quyết số 62/NQ-HĐND ngày 11/8/2021 của HĐND huyện Văn Lãng</t>
  </si>
  <si>
    <t>Mở rộng trụ sở UBND xã Thành Hòa</t>
  </si>
  <si>
    <t>Tờ LN1 thửa 373, 374, 375, 391</t>
  </si>
  <si>
    <t>Mở rộng trụ sở UBND xã Nhạc Kỳ</t>
  </si>
  <si>
    <t>Tờ 17 thửa 165, 166, 184, 185, 137, 965, 189, 188, 192, 193,…</t>
  </si>
  <si>
    <t>Xây mới trụ sở Ban Chỉ huy Quân sự xã</t>
  </si>
  <si>
    <t>Tờ 85 thửa 109 (Trùng Quán cũ)</t>
  </si>
  <si>
    <t>Tờ số 46: Thửa 28, 29, 31, 43 (Trong QH 1/500)</t>
  </si>
  <si>
    <t>Tờ 71 thửa 175</t>
  </si>
  <si>
    <t>Thôn Bản Gioòng</t>
  </si>
  <si>
    <t>Tờ 42 thửa 41, 48</t>
  </si>
  <si>
    <t>Tờ 1 LN thửa 357, 345, 337</t>
  </si>
  <si>
    <t>NQ số 62/NQ-HĐND ngày 11/8/2021 của HĐND huyện Văn Lãng</t>
  </si>
  <si>
    <t>Tờ 17 thửa 106. Tờ 18 thửa 964, 966</t>
  </si>
  <si>
    <t xml:space="preserve">Tờ số 26: Thửa 245, 246, 317; Tờ LN1 thửa 536 </t>
  </si>
  <si>
    <t>Tờ số 134: Thửa 150</t>
  </si>
  <si>
    <t>Tờ 41 thửa 68</t>
  </si>
  <si>
    <t>Tờ 27 thửa 458. Tờ 34 thửa số 46, 47, 31 (Hoàng Việt cũ)</t>
  </si>
  <si>
    <t>Tờ 19 thửa 45, 64, 63, 33</t>
  </si>
  <si>
    <t>Tờ 86 thửa 155, 143, 137 (Trùng Quán cũ)</t>
  </si>
  <si>
    <t>Tờ 41 thửa 186, 193</t>
  </si>
  <si>
    <t>BĐLN 01: Thửa 178, 182</t>
  </si>
  <si>
    <t>BĐLN 03: Thửa 81, 108, 90</t>
  </si>
  <si>
    <t>Xây dựng nhà làm việc liên ngành tại khu vực Km3+937 đường chuyên dụng vận tải hàng hóa Tân Thanh</t>
  </si>
  <si>
    <t>Ban Quản lý khu kinh tế cửa khẩu Lạng Sơn đăng ký</t>
  </si>
  <si>
    <t>Xây dựng trụ sở làm việc + kho + sân bãi kiểm tra hàng hoá của đội quản lý thị trường</t>
  </si>
  <si>
    <t>Đội QLTT đăng ký</t>
  </si>
  <si>
    <t>Mở rộng trụ sở UBND và nhà công vụ xã Tân Thanh</t>
  </si>
  <si>
    <t>Mở rộng nhà công vụ và làm việc của Chi cục Hải Quan</t>
  </si>
  <si>
    <t>Thôn Bản Thẩu, Nà Lầu</t>
  </si>
  <si>
    <t>Tờ 41 thửa 251. Tờ 54 thửa 47, 41</t>
  </si>
  <si>
    <t>Xây dựng các trụ sở cơ quan khác (Các trụ sở cơ quan theo QH phân khu Trục trung tâm KHTCK Đồng Đăng - Lạng Sơn)</t>
  </si>
  <si>
    <t>Tờ 110, 122</t>
  </si>
  <si>
    <t>Xây dựng trụ sở đội Quản lý thị trường</t>
  </si>
  <si>
    <t>Tờ 23, thửa 89, 90, 91, 92, 94, 95, 135, 136; Tờ LN1 thửa 441, 440</t>
  </si>
  <si>
    <t>XXVI</t>
  </si>
  <si>
    <t>Bãi tập huấn luyện cấp huyện</t>
  </si>
  <si>
    <t xml:space="preserve">Thôn Nà Mạt, Khun Pinh </t>
  </si>
  <si>
    <t>BĐLN 02: Thửa 157, 193, 212, 220, 230, 255, 269,…</t>
  </si>
  <si>
    <t>Bãi tập huấn luyện xã</t>
  </si>
  <si>
    <t>Tờ số 103: Thửa 203, 206, 93, 94, 90 (Trùng Quán cũ)
BĐLN 01: Thửa 624</t>
  </si>
  <si>
    <t>Tờ LN số 1 thửa 367, 392</t>
  </si>
  <si>
    <t>Tờ 1 LN thửa 74, 86, 98</t>
  </si>
  <si>
    <t>BĐLN 03: Thửa 81, 108
Tờ số 70: Thửa 1,2,3,4,5,6, …</t>
  </si>
  <si>
    <t>Đất khuôn viên cây xanh bờ sông Kỳ Cùng, thị trấn Na Sầm</t>
  </si>
  <si>
    <t>XXVIII</t>
  </si>
  <si>
    <t>Đất trồng lúa</t>
  </si>
  <si>
    <t>Chuyển đổi các loại đất khác sang đất trồng lúa</t>
  </si>
  <si>
    <t>Các xã</t>
  </si>
  <si>
    <t>LUA</t>
  </si>
  <si>
    <t>Đất trồng cây hàng năm khác</t>
  </si>
  <si>
    <t>Chuyển đổi các loại đất khác sang đất trồng cây hàng năm khác</t>
  </si>
  <si>
    <t>Giao đất nông nghiệp (BHK) cho hộ gia đình, cá nhân</t>
  </si>
  <si>
    <t>Tờ số 96: Thửa 89; Tờ số 107,108: Thửa 87; Tờ số 108,96: Thửa 63; Tờ số 86: Thửa 86; Tờ số 82: Thửa 153; Tờ số 65: Thửa 46; Tờ số 66: Thửa 34; Tờ số 52: Thửa 219; Tờ số 53: Thửa 103; Tờ số 1031; Thửa 103; Tờ số 107,108: Thửa 31</t>
  </si>
  <si>
    <t>XXIX</t>
  </si>
  <si>
    <t>Đất trồng cây lâu năm</t>
  </si>
  <si>
    <t>Chuyển đổi các loại đất khác sang đất trồng cây lâu năm</t>
  </si>
  <si>
    <t>Các thôn, khu</t>
  </si>
  <si>
    <t>XXX</t>
  </si>
  <si>
    <t>Đất nuôi trồng thủy sản</t>
  </si>
  <si>
    <t>Chuyển đổi các loại đất khác sang đất nuôi trồng thủy sản</t>
  </si>
  <si>
    <t>Tờ 57 thửa 25. Tờ 59 thửa 6. Tờ 90 thửa 38, 39, 40, 34, 35, 36, 37. Tờ 37 thửa 30, 34, 35, 41</t>
  </si>
  <si>
    <t>Thôn Nà Lẹng, Thôn Liên Kết</t>
  </si>
  <si>
    <t>Tờ 86 thửa 76, 79, 80. Tờ 69 thửa 19, 21. Tờ 33 thửa 15</t>
  </si>
  <si>
    <t>Tờ 44 thửa 50. Tờ 31 thửa 295, 313, 314, 315, 317</t>
  </si>
  <si>
    <t>Tờ 43 thửa 1, 7, 8,9, 10, 11, 12,14; Tờ 55 thửa 7, 8; Tờ 66 thửa 29, 30, 31, 33, 34; Tờ 67 thửa 84, 89; Tờ 98 thửa 9, 10,11 ; Tờ 101 thửa 74, 77, 78; Tờ 109 thửa 82, 89, 90</t>
  </si>
  <si>
    <t xml:space="preserve">Tờ 5 thửa 17; tờ 24 thửa 1, 6, 7, 8, 9, 10, 14, 15; Tờ 11 thửa 7, 8, 10, 11, 12, 13, 15, 16, 17, 18, 19, 20 ; tờ 15 thửa 130, 140, 149,150; tờ 37 thửa 194, 195; tờ 53 thửa 1, 2, 17, 18, 19,21, 22, 23; tờ </t>
  </si>
  <si>
    <t>XXXI</t>
  </si>
  <si>
    <t>Đất nông nghiệp khác</t>
  </si>
  <si>
    <t xml:space="preserve">Dự án đầu tư trang trại chăn nuôi Đại Dương </t>
  </si>
  <si>
    <t>BĐLN02: Thửa 398</t>
  </si>
  <si>
    <t xml:space="preserve">Quyết định số 693/QĐ-UBND ngày 15/4/2022 của UBND tỉnh </t>
  </si>
  <si>
    <t>Tờ LN01, thửa 165,190,185,212</t>
  </si>
  <si>
    <t>Thôn Quyết Tiến, Hợp Nhất</t>
  </si>
  <si>
    <t>Tờ 69 thửa 84, 85, 86, 60, 83, 87, 61, 82; Tờ 78 thửa 86</t>
  </si>
  <si>
    <t>Tờ 1 LN thửa 52</t>
  </si>
  <si>
    <t>Thôn Kéo Van; Liên Kết; Khun Gioong; Nà Lẹng; Bản Quan; Tà Coóc; Nà Chi</t>
  </si>
  <si>
    <t>Tờ 51 Thửa 91, 99 (Tân Lang cũ); Tờ 08 Thửa 13, 14, 18, 19, 23 (Trùng Quán cũ); Tờ 34 Thửa 85, 86 (Trùng Quán cũ); Tờ 58 Thửa 205, 206, 207, 215, 217, 216 (Tân Việt cũ); Tờ 13 Thửa 354, 355, 356 (Tân Việt cũ); Tờ 33 (Tân Lang) thửa 198; Tờ 23 (Trùng Quán) thửa 109; Tờ 24 (Trùng Quán) thửa 57, 117</t>
  </si>
  <si>
    <t>Thôn Liên Kết; Khun Roọc</t>
  </si>
  <si>
    <t>Thôn Liên Kết: Tờ LN 01 thửa 990 tờ 8 thửa 87, 92 Tờ 17 thửa 191, 192 tờ 23 thửa 217, 18, 109 tờ 24 thửa 117, 57, 73, 3, Tờ 33 thửa 198 tờ 34 thửa 262, 211, Tờ 59, thửa 1, 6 tờ 67 thửa 19 tờ 68 thửa 106,79,80, 49, 243, 239, 240, 194 tờ 69 thửa 30, 31, 22, 23, 26, 27, 18, 19, 21; 
Thôn Khun RoọcTờ 24, thửa 221 (Tân Lang cũ); Tờ 24, thửa 73, 57 (Trùng Quán cũ); Tờ 23: Thửa 217, 218 (Trùng Quán cũ); Tờ 08: Thửa 87,92 (Trùng Quán cũ); Tờ 67: Thửa 19; Tờ 59: Thửa 01,06 (Nà Lẹng); Tờ 33: Thửa 198; Tờ 17: Thửa 171,172; Tờ 34: Thửa 262,211</t>
  </si>
  <si>
    <t xml:space="preserve">Tờ LN 02 thửa 475, 452, 451, 491, 564, 527, </t>
  </si>
  <si>
    <t>Thôn Nà Phai, Còn Nọoc, Kéo Phầư</t>
  </si>
  <si>
    <t xml:space="preserve">Tờ LN 01 thửa 523; Tờ 97 thửa 6; Tờ 83 thửa 322; Tờ 73 thửa 10; Tờ 56 thửa 503; </t>
  </si>
  <si>
    <t>Thôn Tiền Phong</t>
  </si>
  <si>
    <t>Tờ 6 thửa 44, 45, 46, .... Tờ 1 LN thửa 21, 28, 42, 43,…</t>
  </si>
  <si>
    <t>Thôn Lũng Thuông</t>
  </si>
  <si>
    <t>BĐLN 02: Thửa 393, 426, 418 (BĐLN Trùng Quán cũ)</t>
  </si>
  <si>
    <t>Tờ 18 thửa 10, 11, 12, 13, 14,…Tờ 19 thửa 8, 9, 10, 11, 12,.... Tờ 1 LN thửa 8, 10, 16, 18, 31, 22, 27,</t>
  </si>
  <si>
    <t>Tờ LN 01 thửa 745; Tờ LN 01 thửa 674; Tờ LN 01 thửa 920</t>
  </si>
  <si>
    <t>Thôn Khuổi Hoi</t>
  </si>
  <si>
    <t>Tờ BĐLN số 2: Thửa 2, 8, 6</t>
  </si>
  <si>
    <t>Tờ 72 tửa 76, 93</t>
  </si>
  <si>
    <t>Tờ LN2 thửa 148, 140, 165, 176, 197, 217, 174,</t>
  </si>
  <si>
    <t>XXXII</t>
  </si>
  <si>
    <t>Đất rừng sản xuất</t>
  </si>
  <si>
    <t>J</t>
  </si>
  <si>
    <t>Chuyển đổi sang đất rừng sản xuất là rừng tự nhiên sang rừng sản xuất là rừng trồng</t>
  </si>
  <si>
    <t>2022-2030</t>
  </si>
  <si>
    <t>Dự án trồng cây dược liệu (Cát sâm, hà thủ ô, sa nhân, ba kích, huyết đằng, muồng)</t>
  </si>
  <si>
    <t>Tờ 46 thửa 44; Tờ LN 01 thửa 783, 766, 753</t>
  </si>
  <si>
    <t>Dự án khu đô thị, sinh thái Thủy Vân Sơn (Quy mô 408,93 ha)</t>
  </si>
  <si>
    <t>Tờ 28, 29, 37, 38, 43, 44, 45; Tờ LN 1</t>
  </si>
  <si>
    <t>Tờ 27, 28, 34, 35, 36, 37, 42; Tờ LN 1</t>
  </si>
  <si>
    <t>Thôn Nà Mần, Bản Gioòng</t>
  </si>
  <si>
    <t>Thôn Công Lý, Tiên Phong, Trung Thành</t>
  </si>
  <si>
    <t>Thôn Hợp Nhất, Tà Lài</t>
  </si>
  <si>
    <t xml:space="preserve">Thôn Tà Lài, Nà Lẹng </t>
  </si>
  <si>
    <t>Thôn Còn Ngòa</t>
  </si>
  <si>
    <t>Thôn Tà Coóc, Khun Roọc</t>
  </si>
  <si>
    <t>BĐLN 01: Thửa 857, 873, 887, 886, 889 (Tân Lang cũ)</t>
  </si>
  <si>
    <t>Thôn Thống Nhất: Tờ 1 LN thửa 229; Thôn Tiên Phong: Tờ 42 thửa 72; Thôn Công Lý tờ LN1 thửa 1224, 1220</t>
  </si>
  <si>
    <t>Thôn Nà Lẹng, Tà Lài</t>
  </si>
  <si>
    <t>Tờ 26 thửa 47, 48, 49, 50,… Tờ 1 LN thửa 453</t>
  </si>
  <si>
    <t>UBND thị trấn đăng ký</t>
  </si>
  <si>
    <t>Tờ 26 thửa 22; BĐLN 01:Thửa 290, 273, Tờ 30: Thửa 184; Tờ số 42: Thửa 545 (Nam La cũ); Tờ số 101: Thửa 142; Tờ số 27: Thửa 243 (Nam La cũ); Tờ số 46: Thửa 11; Tờ LN02 thửa 469, 450</t>
  </si>
  <si>
    <t>Thôn Đồng Tân</t>
  </si>
  <si>
    <t>Tờ 26 thửa 62 (An Hùng cũ)</t>
  </si>
  <si>
    <t>Xây mới nhà văn hóa thôn Đồng Tân</t>
  </si>
  <si>
    <t>Mở rộng nhà văn hóa thôn Lùng Đúc</t>
  </si>
  <si>
    <t>Tờ 01 LN thửa 502</t>
  </si>
  <si>
    <t>Thôn Long Tiến, Nà Phiêng, Cốc Mặn, Nà Lùng, Bó Chầu, Quyết Thắng, Thuận Lợi, Nà Pàn</t>
  </si>
  <si>
    <t>Tờ 33 thửa 276, 275, 304; Tờ 55 thửa 241; Tờ 67 thửa 482; Tờ 64 thửa 179; Tờ 1 LN thửa 613; Tờ 24 thửa 67, 68; Tờ 18 thửa 348, 349; Tờ 47 thửa 974, 975</t>
  </si>
  <si>
    <t>Tờ 38 thửa 78, 79, 80, 81, 124, 125, 126, 127; Tờ 1 LN thửa 563, 572, 561</t>
  </si>
  <si>
    <t xml:space="preserve">Bản Miằng </t>
  </si>
  <si>
    <t>Cấy MBA giảm bán kính cấp điện cho TBA Lũng Vài</t>
  </si>
  <si>
    <t>Thôn Na Hình, Pác Cáy</t>
  </si>
  <si>
    <t>Chuyển tiếp từ QHSDĐ 2030</t>
  </si>
  <si>
    <t>Chuyển tiếp từ QHSDĐ 2030 (Thôn Pá Chí; Đon Chang;  Đâng Van; Pàn Phước; Nà Phân;  Nà Vạc; Nà Liền; Khau Slung); Đăng ký mới (Thôn Bản Cáu; Còn Bó; Bản Ánh)</t>
  </si>
  <si>
    <t>Chuyển tiếp từ QHSDĐ 2030 (Khu I, II; Thôn Bản Thẩu; Thôn Nà Han). Đăng ký mới (Thôn Nà Ngườm)</t>
  </si>
  <si>
    <t>Chuyển tiếp từ QHSDĐ 2030 (Thôn Co Tào; Thôn Bình Độ; Thôn Cốc Lào); Đăng ký mới (Thôn Khuổi Toọc; Thôn Bản Miằng; Thôn Hòa Lạc; Thôn Háng Vang)</t>
  </si>
  <si>
    <t>Chuyển tiếp từ QHSDĐ 2030 (Thôn Liên Kết; Nà Lẹng; Tà Coóc; Vạn Xuân; Liên Hợp; Kéo Van;  Bản Làng; Khun Rọoc); Đăng ký mới (Thôn Bản Quan)</t>
  </si>
  <si>
    <t>Chuyển tiếp từ QHSDĐ 2030 (thôn  Bản Cáp). Đăng ký mới (Quảng Sơn, Bình Lập, Cương Quyết)</t>
  </si>
  <si>
    <t>Chuyển tiếp từ QHSDĐ 2030 (17,08 ha), đăng ký mới 105,24 ha</t>
  </si>
  <si>
    <t>Chuyển tiếp từ QHSDĐ 2030 (57,32 ha), đăng ký mới (46,37 ha)</t>
  </si>
  <si>
    <t>Chuyển tiếp từ QHSDĐ 2030 (1.078,71 ha); Đăng ký mới (233,61 ha)</t>
  </si>
  <si>
    <t>Chuyển tiếp từ QHSDĐ 2030 (Thôn Kéo Van; Khun Gioong; Nà Lẹng; Liên Kết; Bản Quan)
Đăng ký mơi thôn Tà Coóc; Nà Chi)</t>
  </si>
  <si>
    <t>Chuyển tiếp từ QHSDĐ 2030 (0,41 ha); Đăng ký mới (3,08 ha)</t>
  </si>
  <si>
    <t>Tờ 34 thửa 4, 5, 6, 7, 8, 9; Tờ 38 thửa 8, 9, 10, 23, 24, 25; Tờ 52 thửa 387, 403, 404, 434, 430, 431, 432, 433, 448, 449</t>
  </si>
  <si>
    <t xml:space="preserve">Tờ 18 thửa 368, 363, 364, 403 </t>
  </si>
  <si>
    <t>Tờ 60 thửa 43, 44, 39, 34, 35, 36, 26, 28, 29, 13, 1-10; Tờ 122 thửa 76, 77</t>
  </si>
  <si>
    <t>Thôn Bản Thầu</t>
  </si>
  <si>
    <t>Thôn Nà Tềnh</t>
  </si>
  <si>
    <t>Thôn Nà Tồng, Nà Han</t>
  </si>
  <si>
    <t>Thôn Nặm Hét, Tác Chiến, Bình Độ</t>
  </si>
  <si>
    <t>Thôn Bản Cáu</t>
  </si>
  <si>
    <t>Tờ 40 thửa 285</t>
  </si>
  <si>
    <t>Tờ 35, 36, 47, 48, 49, Tờ LN1 (Tân Việt cũ)</t>
  </si>
  <si>
    <t>Xã Tân Thanh (Tờ LN1); xã Thanh Long (Tờ LN1)</t>
  </si>
  <si>
    <t>Tờ LN 1 (Nam La)</t>
  </si>
  <si>
    <t>Xã Hồng Thái (Tờ 28, 29, 34, 35, 37,38, …;Tờ LN 1, 2); Xã Hoàng Việt (Tờ 100, 110, 111, 112, 123, …; Tờ LN2)</t>
  </si>
  <si>
    <t>Tờ 37 thửa 200, 215, 169, 134</t>
  </si>
  <si>
    <t>Tờ 25 (TT. Na Sầm)</t>
  </si>
  <si>
    <t>Xã Trùng Khánh (Tờ LN2); xã Thụy Hùng (Tờ LN2); xã Thanh Long (Tờ LN2); xã Tân Thanh (Tờ LN1); xã Tân Mỹ (Tờ LN1, 2)</t>
  </si>
  <si>
    <t>Xã Bắc Việt (Tân Lang cũ: Tờ LN 1); Xã Thành Hòa (Tờ LN 1)</t>
  </si>
  <si>
    <t>Tờ 25, 26, 34, 43, 44 (Tân Lang cũ)</t>
  </si>
  <si>
    <t>Tờ LN 2</t>
  </si>
  <si>
    <t>Tờ 99, 100, 101; Tờ LN 1, 2</t>
  </si>
  <si>
    <t>2023-2025: 4,00 ha; 2026-2030: 4,93 ha</t>
  </si>
  <si>
    <t xml:space="preserve"> 2023-2025</t>
  </si>
  <si>
    <t>2023-2025: 3,00 ha; 2026-2030: 27,44 ha</t>
  </si>
  <si>
    <t>2023-2025: 3,00 ha; 2026-2030: 3,00 ha</t>
  </si>
  <si>
    <t>2023-2025: 0,10 ha;
2026-2030: 0,07 ha</t>
  </si>
  <si>
    <t>2023-2025: 15,00 ha;
2026-2030: 7,50 ha</t>
  </si>
  <si>
    <t>2023-2025: 0,47 ha;
2026-2030: 0,60 ha</t>
  </si>
  <si>
    <t>2023-2025: 0,68 ha;
2026-2030: 0,60 ha</t>
  </si>
  <si>
    <t>2023-2025: 0,13 ha;
2026-2030: 0,16 ha</t>
  </si>
  <si>
    <t>2023-2025: 0,13 ha;
2026-2030: 0,10 ha</t>
  </si>
  <si>
    <t>Các xã Tân Mỹ, Tân Thanh, Hoàng Việt và TT Na Sầm</t>
  </si>
  <si>
    <t>Quyết định số 2529/QĐ-TTg ngày 21/12/2015</t>
  </si>
  <si>
    <t>Quyết định số 4638/QĐ-BNN-HTQT ngày 9/11/2015</t>
  </si>
  <si>
    <t>Chuyển tiếp từ QHSDĐ 2030 (Vạn Xuân), đăng ký mới (Kéo Van)</t>
  </si>
  <si>
    <t xml:space="preserve">Chuyển tiếp từ QHSDĐ 2030 (Nà Tồng); đăng ký mới (Pò Hà, Manh Dưới, Manh Trên, Bản Pẻn, Bản Cháu, Pá Tặp)  </t>
  </si>
  <si>
    <t>Chuyển tiếp từ QHSDĐ 2030 (Bản Bẻng, Hòa Lạc); đăng ký mới (Khuổi Toọc, Bản Kìa)</t>
  </si>
  <si>
    <t>XXXX</t>
  </si>
  <si>
    <t>Giao đất cho các hộ gia đình cá nhân</t>
  </si>
  <si>
    <t>Giao các thửa đất nhỏ lẻ, xen kẹt cho các hộ gia đình cá nhân để sử dụng vào mục đích nông nghiệp, phi nông nghiệp</t>
  </si>
  <si>
    <t>2023 - 2030</t>
  </si>
  <si>
    <t>Đường vào khai thác quặng khu mỏ Ma Mèo, xã Tân Mỹ, huyện Văn Lãng</t>
  </si>
  <si>
    <t>Chủ đầu tư đăng ký</t>
  </si>
  <si>
    <t>2023 - 2025</t>
  </si>
  <si>
    <t>Chuyển tiếp từ QHSDD2030</t>
  </si>
  <si>
    <t xml:space="preserve">Địa điểm </t>
  </si>
  <si>
    <t>Thị trấn Na Sầm (thuộc địa giới hành chính xã Hoàng Việt)</t>
  </si>
  <si>
    <t>Dự án bến xe hàng hóa, kho bãi, địa điểm tập kết, kiểm tra, giám sát hàng hóa xuất khẩu, tập trung Đạt Phát và dự án mở rộng kho ngoại quan Đạt Phát Cty CP sản xuất và XNK Đạt Phát</t>
  </si>
  <si>
    <t>Tà Cooc: Tờ 34 thửa 180, 181, 182. Tờ 37 Thửa 43. Khun Rọc: Tờ 23 thửa 21, 23,166 (Tân Lang cũ); Tờ 24 thửa 214, 221 (Tân Lang cũ); Tờ 23 thửa 02, LN01 thửa 337 (Tân Lang cũ)</t>
  </si>
  <si>
    <t>Tờ LN 1 thửa 658, 691, 692, 678, 657,  268, 291, 283. Tờ 101 thửa 81;</t>
  </si>
  <si>
    <t>Thôn Thuận Lợi, Nà Phiêng</t>
  </si>
  <si>
    <t>Xã Hội Hoan, Thành Hòa, Bắc Việt</t>
  </si>
  <si>
    <t>Xây mới nhà văn hóa xã Thanh Long (Thư viện xã )</t>
  </si>
  <si>
    <t>Xây mới sân thể thao trung tâm xã Tân Tác</t>
  </si>
  <si>
    <t>BĐLN 02: Thửa 816, 800, 790, 801 (Trùng Quán cũ)</t>
  </si>
  <si>
    <t>Tờ số 87: Thửa 70,81,82,80,84,83,….
Tờ LN số 3: Thửa 151, 179</t>
  </si>
  <si>
    <t>Thị trấn Na Sầm, xã Bắc Hùng</t>
  </si>
  <si>
    <t>Tờ 28, 29, 35, 36 (Hoàng Việt cũ)</t>
  </si>
  <si>
    <t>Tờ 7 thửa 20, 21, 23, 79, 83, … (Hoàng Việt cũ)</t>
  </si>
  <si>
    <t>Tờ LN1: Tờ 41</t>
  </si>
  <si>
    <t>Tờ LN1; Tờ 46, 47, 53</t>
  </si>
  <si>
    <t>Dự án khai thác mỏ cát, sỏi xã Bắc Hùng, Bắc Việt (Quy mô 116 ha)</t>
  </si>
  <si>
    <t>LN02 thửa 97,100,108,109,110 (Trùng Quán cũ)</t>
  </si>
  <si>
    <t>Diện tích tăng thêm (ha)</t>
  </si>
  <si>
    <t>Mã</t>
  </si>
  <si>
    <t>Tờ bản đồ 28 thửa 129, 148, 147 (Nam La cũ); Tờ 27 thửa 151, 240 (Nam La cũ); Tờ 140 thửa 43, 45, 56, 57, 58, 59, 60, 61, 39. Tờ 141 thửa 27, 35, 36 (xã Hội Hoan cũ); Thửa 204, 205, 226 BĐĐC số 16; Thửa 59, 60, 61, 62, 63, 65 BĐĐC số 38; Thửa 369 BĐLN số 2; Thửa 211, 223, 224, 225 BĐĐC số 133</t>
  </si>
  <si>
    <t>Thôn Khun Phung; Nà Éc; Pá Đa; Còn Luông; Lương Thác</t>
  </si>
  <si>
    <t>Thôn Nà Pục; Khuổi Hoi; Nặm Slù; Hát Lốc; Nà Sòm; Và Quang; Tân Lập</t>
  </si>
  <si>
    <t>Diện tích quy hoạch (ha)</t>
  </si>
  <si>
    <t>Diện tích hiện trạng (ha)</t>
  </si>
  <si>
    <t>Thôn Nà Mò, Cốc Nam, Quyết Tiến, Hợp Nhất</t>
  </si>
  <si>
    <t>Tờ 93 thửa 46; Tờ 121 thửa 241; Tờ 89 thửa 246; Tờ 60 thửa 208, 237, 209, 234, 210</t>
  </si>
  <si>
    <t>Thôn Lương Thác, Pá Đa</t>
  </si>
  <si>
    <t>Tờ 61 thửa 53, 54, 55, 56, 66, 67; Tờ 54 thửa 54, 147</t>
  </si>
  <si>
    <t>Xây dựng trang trại chăn nuôi</t>
  </si>
  <si>
    <t>Công văn số 2427 /SGTVT-KHTC ngày 10/8/2022 V/v đăng ký nhu cầu sử dụng đất để lập điều chỉnh Quy hoạch sử dụng đất cấp huyện thời kỳ 2021 -2030 và kế hoạch sử dụng đất năm 2022 của điều chỉnh quy hoạch sử dụng đất huyện Văn Lãng</t>
  </si>
  <si>
    <t>Biểu 01</t>
  </si>
  <si>
    <t>Tờ số 54: Thửa 103; Tờ số 55: Thửa 101</t>
  </si>
  <si>
    <t>Tờ số 54: Thửa 37; Lô đất đường ngang số 2 - một phần lô K5-CC102 xã Tân Thanh; Lô đất đường ngang số 3 - một phần lô K5-CC103 xã Tân Thanh</t>
  </si>
  <si>
    <t xml:space="preserve">Tờ 55 thửa 145; </t>
  </si>
  <si>
    <t>Tờ 75;</t>
  </si>
  <si>
    <t>Tờ 92 thửa 67</t>
  </si>
  <si>
    <t>Tờ 91 thửa 68;</t>
  </si>
  <si>
    <t>Tờ 120 thửa 811;</t>
  </si>
  <si>
    <t>Tờ 84 thửa 23;</t>
  </si>
  <si>
    <t>Tờ 109 thửa 418;</t>
  </si>
  <si>
    <t xml:space="preserve">Tờ 68 thửa 472; </t>
  </si>
  <si>
    <t>Tờ 56 thửa 96;</t>
  </si>
  <si>
    <t>Tờ 23 thửa 41</t>
  </si>
  <si>
    <t>Thông báo số 255/TB-STNMT ngày 21/10/2022 của Sở TN&amp;MT tỉnh Lạng Sơn</t>
  </si>
  <si>
    <t>PÁ CHÍ</t>
  </si>
  <si>
    <t>Thôn Pá Chí; Đon Chang; Đâng Van; Pàn Phước; Nà Phân; Nà Vạc; Nà Liền; Khau Slung; Bản Cáu; Còn Bó; Bản Ánh</t>
  </si>
  <si>
    <t>Tờ 31 thửa 81, 82; Tờ 55 thửa 145; Tờ 75; Tờ 92 thửa 67; Tờ 91 thửa 68; Tờ 120 thửa 811; Tờ 84 thửa 23; Tờ 109 thửa 418; Tờ 68 thửa 472; Tờ 56 thửa 96; Tờ 23 thửa 41</t>
  </si>
  <si>
    <t>Tờ 31 thửa 81, 82</t>
  </si>
  <si>
    <t>ĐON CHANG</t>
  </si>
  <si>
    <t>ĐÂNG VAN</t>
  </si>
  <si>
    <t>PÀN PHƯỚC</t>
  </si>
  <si>
    <t>NÀ PHÂN</t>
  </si>
  <si>
    <t>NÀ VẠC</t>
  </si>
  <si>
    <t>NÀ LIỀN</t>
  </si>
  <si>
    <t>KHAU SLUNG</t>
  </si>
  <si>
    <t>BẢN CÁU</t>
  </si>
  <si>
    <t>CÒN BÓ</t>
  </si>
  <si>
    <t>BẢN ÁNH</t>
  </si>
  <si>
    <t>Các xã Thanh Long, Thụy Hùng, Trùng Khánh, Tân Thanh, Tân Mỹ</t>
  </si>
  <si>
    <t>H</t>
  </si>
  <si>
    <t xml:space="preserve">nà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</si>
</sst>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_);_(* \(#,##0\);_(* &quot;-&quot;??_);_(@_)"/>
    <numFmt numFmtId="165" formatCode="0.00;[Red]0.00"/>
    <numFmt numFmtId="166" formatCode="#,##0.000"/>
    <numFmt numFmtId="167" formatCode="_-* #,##0.00\ _₫_-;\-* #,##0.00\ _₫_-;_-* &quot;-&quot;??\ _₫_-;_-@_-"/>
    <numFmt numFmtId="168" formatCode="0.0"/>
    <numFmt numFmtId="169" formatCode="_(* #,##0.000_);_(* \(#,##0.000\);_(* &quot;-&quot;??_);_(@_)"/>
    <numFmt numFmtId="170" formatCode="#,##0.0"/>
    <numFmt numFmtId="171" formatCode="0_);[Red]\(0\)"/>
    <numFmt numFmtId="172" formatCode="_(* #,##0.00_);_(* \(#,##0.00\);_(* &quot;-&quot;_);_(@_)"/>
    <numFmt numFmtId="173" formatCode="_(* #,##0.000_);_(* \(#,##0.000\);_(* &quot;-&quot;_);_(@_)"/>
    <numFmt numFmtId="174" formatCode="_-* #,##0.00\ _₫_-;\-* #,##0.00\ _₫_-;_-* &quot;-&quot;\ _₫_-;_-@_-"/>
  </numFmts>
  <fonts count="25" x14ac:knownFonts="1">
    <font>
      <sz val="11"/>
      <color theme="1"/>
      <name val="Calibri"/>
      <family val="2"/>
      <scheme val="minor"/>
    </font>
    <font>
      <sz val="11"/>
      <color theme="1"/>
      <name val="Calibri"/>
      <family val="2"/>
      <scheme val="minor"/>
    </font>
    <font>
      <sz val="12"/>
      <name val=".VnTime"/>
      <family val="2"/>
    </font>
    <font>
      <sz val="10"/>
      <name val="Arial"/>
      <family val="2"/>
    </font>
    <font>
      <sz val="11"/>
      <color indexed="8"/>
      <name val="Calibri"/>
      <family val="2"/>
    </font>
    <font>
      <sz val="12"/>
      <name val=".VnArial"/>
      <family val="2"/>
    </font>
    <font>
      <sz val="11"/>
      <color theme="1"/>
      <name val="Calibri"/>
      <family val="2"/>
      <charset val="163"/>
      <scheme val="minor"/>
    </font>
    <font>
      <sz val="12"/>
      <name val="Times New Roman"/>
      <family val="1"/>
    </font>
    <font>
      <sz val="11"/>
      <color rgb="FF000000"/>
      <name val="Calibri"/>
      <family val="2"/>
    </font>
    <font>
      <sz val="14"/>
      <name val=".VnTime"/>
      <family val="2"/>
    </font>
    <font>
      <sz val="13"/>
      <name val=".VnTime"/>
      <family val="2"/>
    </font>
    <font>
      <b/>
      <sz val="9"/>
      <color indexed="81"/>
      <name val="Tahoma"/>
      <family val="2"/>
    </font>
    <font>
      <sz val="9"/>
      <color indexed="81"/>
      <name val="Tahoma"/>
      <family val="2"/>
    </font>
    <font>
      <b/>
      <sz val="12"/>
      <color theme="1"/>
      <name val="Times New Roman"/>
      <family val="1"/>
    </font>
    <font>
      <sz val="12"/>
      <color theme="1"/>
      <name val="Times New Roman"/>
      <family val="1"/>
    </font>
    <font>
      <sz val="10"/>
      <color theme="1"/>
      <name val="Times New Roman"/>
      <family val="1"/>
    </font>
    <font>
      <b/>
      <sz val="12"/>
      <name val="Times New Roman"/>
      <family val="1"/>
    </font>
    <font>
      <b/>
      <sz val="10"/>
      <name val="Times New Roman"/>
      <family val="1"/>
    </font>
    <font>
      <i/>
      <sz val="12"/>
      <name val="Times New Roman"/>
      <family val="1"/>
    </font>
    <font>
      <sz val="13"/>
      <name val="Times New Roman"/>
      <family val="1"/>
    </font>
    <font>
      <sz val="10"/>
      <name val="Times New Roman"/>
      <family val="1"/>
    </font>
    <font>
      <sz val="11"/>
      <name val="Times New Roman"/>
      <family val="1"/>
    </font>
    <font>
      <sz val="12"/>
      <color rgb="FFFF0000"/>
      <name val="Times New Roman"/>
      <family val="1"/>
    </font>
    <font>
      <b/>
      <sz val="12"/>
      <color rgb="FFFF0000"/>
      <name val="Times New Roman"/>
      <family val="1"/>
    </font>
    <font>
      <i/>
      <sz val="12"/>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3" fillId="0" borderId="0"/>
    <xf numFmtId="0" fontId="3" fillId="0" borderId="0"/>
    <xf numFmtId="0" fontId="2" fillId="0" borderId="0"/>
    <xf numFmtId="43" fontId="4"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0" fontId="3" fillId="0" borderId="0"/>
    <xf numFmtId="0" fontId="5" fillId="0" borderId="0"/>
    <xf numFmtId="0" fontId="3" fillId="0" borderId="0"/>
    <xf numFmtId="0" fontId="3" fillId="0" borderId="0"/>
    <xf numFmtId="0" fontId="3" fillId="0" borderId="0"/>
    <xf numFmtId="0" fontId="3" fillId="0" borderId="0"/>
    <xf numFmtId="167" fontId="2" fillId="0" borderId="0" applyFont="0" applyFill="0" applyBorder="0" applyAlignment="0" applyProtection="0"/>
    <xf numFmtId="0" fontId="6" fillId="0" borderId="0"/>
    <xf numFmtId="43" fontId="1" fillId="0" borderId="0" applyFont="0" applyFill="0" applyBorder="0" applyAlignment="0" applyProtection="0"/>
    <xf numFmtId="0" fontId="7" fillId="0" borderId="0"/>
    <xf numFmtId="0" fontId="3" fillId="0" borderId="0"/>
    <xf numFmtId="0" fontId="8" fillId="0" borderId="0"/>
    <xf numFmtId="43" fontId="4"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9" fillId="0" borderId="0"/>
    <xf numFmtId="0" fontId="10" fillId="0" borderId="0"/>
    <xf numFmtId="0" fontId="9" fillId="0" borderId="0"/>
  </cellStyleXfs>
  <cellXfs count="480">
    <xf numFmtId="0" fontId="0" fillId="0" borderId="0" xfId="0"/>
    <xf numFmtId="0" fontId="13" fillId="2" borderId="0" xfId="2" applyFont="1" applyFill="1" applyAlignment="1">
      <alignment vertical="center" wrapText="1"/>
    </xf>
    <xf numFmtId="0" fontId="14" fillId="2" borderId="0" xfId="2" applyFont="1" applyFill="1" applyAlignment="1">
      <alignment vertical="center"/>
    </xf>
    <xf numFmtId="0" fontId="13" fillId="2" borderId="0" xfId="2" applyFont="1" applyFill="1" applyAlignment="1">
      <alignment horizontal="right" vertical="center" wrapText="1"/>
    </xf>
    <xf numFmtId="1" fontId="14" fillId="2" borderId="0" xfId="2" applyNumberFormat="1" applyFont="1" applyFill="1" applyAlignment="1">
      <alignment horizontal="center" vertical="center"/>
    </xf>
    <xf numFmtId="1" fontId="14" fillId="2" borderId="0" xfId="2" applyNumberFormat="1" applyFont="1" applyFill="1" applyAlignment="1">
      <alignment horizontal="center" vertical="center" wrapText="1"/>
    </xf>
    <xf numFmtId="0" fontId="15" fillId="2" borderId="0" xfId="2" applyFont="1" applyFill="1" applyAlignment="1">
      <alignment vertical="center"/>
    </xf>
    <xf numFmtId="0" fontId="14" fillId="2" borderId="0" xfId="2" applyFont="1" applyFill="1" applyAlignment="1">
      <alignment horizontal="center" vertical="center" wrapText="1"/>
    </xf>
    <xf numFmtId="0" fontId="14" fillId="2" borderId="0" xfId="2" applyFont="1" applyFill="1" applyAlignment="1">
      <alignment horizontal="center" vertical="center"/>
    </xf>
    <xf numFmtId="4" fontId="14" fillId="2" borderId="0" xfId="2" applyNumberFormat="1" applyFont="1" applyFill="1" applyAlignment="1">
      <alignment vertical="center"/>
    </xf>
    <xf numFmtId="0" fontId="14" fillId="2" borderId="0" xfId="2" applyFont="1" applyFill="1" applyAlignment="1">
      <alignment horizontal="left" vertical="center" wrapText="1"/>
    </xf>
    <xf numFmtId="4" fontId="14" fillId="2" borderId="0" xfId="2" applyNumberFormat="1" applyFont="1" applyFill="1" applyAlignment="1">
      <alignment horizontal="right" vertical="center"/>
    </xf>
    <xf numFmtId="4" fontId="14" fillId="2" borderId="0" xfId="2" applyNumberFormat="1" applyFont="1" applyFill="1" applyAlignment="1">
      <alignment horizontal="center" vertical="center"/>
    </xf>
    <xf numFmtId="4" fontId="14" fillId="2" borderId="0" xfId="2" applyNumberFormat="1" applyFont="1" applyFill="1" applyAlignment="1">
      <alignment horizontal="center" vertical="center" wrapText="1"/>
    </xf>
    <xf numFmtId="0" fontId="14" fillId="2" borderId="0" xfId="2" quotePrefix="1" applyFont="1" applyFill="1" applyAlignment="1">
      <alignment horizontal="center" vertical="center" wrapText="1"/>
    </xf>
    <xf numFmtId="49" fontId="14" fillId="2" borderId="0" xfId="2" applyNumberFormat="1" applyFont="1" applyFill="1" applyAlignment="1">
      <alignment horizontal="center" vertical="center"/>
    </xf>
    <xf numFmtId="0" fontId="14" fillId="2" borderId="0" xfId="2" applyFont="1" applyFill="1" applyAlignment="1">
      <alignment horizontal="center"/>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1" fontId="7" fillId="0" borderId="1" xfId="29" applyNumberFormat="1" applyFont="1" applyFill="1" applyBorder="1" applyAlignment="1">
      <alignment horizontal="left" vertical="center" wrapText="1"/>
    </xf>
    <xf numFmtId="4" fontId="7" fillId="0" borderId="1" xfId="2" applyNumberFormat="1" applyFont="1" applyFill="1" applyBorder="1" applyAlignment="1">
      <alignment horizontal="right" vertical="center"/>
    </xf>
    <xf numFmtId="4" fontId="7" fillId="0" borderId="1" xfId="11" applyNumberFormat="1" applyFont="1" applyFill="1" applyBorder="1" applyAlignment="1">
      <alignment horizontal="right" vertical="center"/>
    </xf>
    <xf numFmtId="166" fontId="7" fillId="0" borderId="1" xfId="2" applyNumberFormat="1" applyFont="1" applyFill="1" applyBorder="1" applyAlignment="1">
      <alignment horizontal="right" vertical="center" wrapText="1"/>
    </xf>
    <xf numFmtId="43" fontId="7" fillId="0" borderId="1" xfId="21" applyFont="1" applyFill="1" applyBorder="1" applyAlignment="1">
      <alignment horizontal="center" vertical="center" wrapText="1"/>
    </xf>
    <xf numFmtId="43" fontId="7" fillId="0" borderId="1" xfId="21" applyFont="1" applyFill="1" applyBorder="1" applyAlignment="1">
      <alignment vertical="center"/>
    </xf>
    <xf numFmtId="49" fontId="7" fillId="0" borderId="1" xfId="14" applyNumberFormat="1" applyFont="1" applyFill="1" applyBorder="1" applyAlignment="1">
      <alignment horizontal="center" vertical="center"/>
    </xf>
    <xf numFmtId="0" fontId="13" fillId="3" borderId="0" xfId="2" applyFont="1" applyFill="1" applyAlignment="1">
      <alignment horizontal="center" vertical="center" wrapText="1"/>
    </xf>
    <xf numFmtId="4" fontId="7" fillId="0" borderId="1" xfId="20" applyNumberFormat="1" applyFont="1" applyFill="1" applyBorder="1" applyAlignment="1">
      <alignment horizontal="right" vertical="center"/>
    </xf>
    <xf numFmtId="4" fontId="7" fillId="0" borderId="1" xfId="2" applyNumberFormat="1" applyFont="1" applyFill="1" applyBorder="1" applyAlignment="1">
      <alignment horizontal="right" vertical="center" wrapText="1"/>
    </xf>
    <xf numFmtId="4" fontId="7" fillId="0" borderId="1" xfId="9" applyNumberFormat="1" applyFont="1" applyFill="1" applyBorder="1" applyAlignment="1">
      <alignment horizontal="right" vertical="center" wrapText="1"/>
    </xf>
    <xf numFmtId="43" fontId="7" fillId="0" borderId="1" xfId="1" applyFont="1" applyFill="1" applyBorder="1" applyAlignment="1">
      <alignment horizontal="right" vertical="center" wrapText="1"/>
    </xf>
    <xf numFmtId="0" fontId="7" fillId="0" borderId="1" xfId="11" applyFont="1" applyFill="1" applyBorder="1" applyAlignment="1">
      <alignment vertical="center" wrapText="1"/>
    </xf>
    <xf numFmtId="4" fontId="7" fillId="0" borderId="1" xfId="11" applyNumberFormat="1" applyFont="1" applyFill="1" applyBorder="1" applyAlignment="1">
      <alignment horizontal="center" vertical="center"/>
    </xf>
    <xf numFmtId="4" fontId="7" fillId="0" borderId="1" xfId="4" applyNumberFormat="1" applyFont="1" applyFill="1" applyBorder="1" applyAlignment="1">
      <alignment horizontal="center" vertical="center" wrapText="1"/>
    </xf>
    <xf numFmtId="4" fontId="7" fillId="0" borderId="1" xfId="2" quotePrefix="1" applyNumberFormat="1" applyFont="1" applyFill="1" applyBorder="1" applyAlignment="1">
      <alignment horizontal="center" vertical="center" wrapText="1"/>
    </xf>
    <xf numFmtId="0" fontId="7" fillId="0" borderId="1" xfId="15" quotePrefix="1" applyFont="1" applyFill="1" applyBorder="1" applyAlignment="1">
      <alignment horizontal="left" vertical="center" wrapText="1"/>
    </xf>
    <xf numFmtId="2" fontId="7" fillId="0" borderId="1" xfId="10" applyNumberFormat="1" applyFont="1" applyFill="1" applyBorder="1" applyAlignment="1">
      <alignment horizontal="center" vertical="center" wrapText="1"/>
    </xf>
    <xf numFmtId="43" fontId="7" fillId="0" borderId="1" xfId="21" applyFont="1" applyFill="1" applyBorder="1" applyAlignment="1">
      <alignment horizontal="right" vertical="center"/>
    </xf>
    <xf numFmtId="4" fontId="17" fillId="0" borderId="1" xfId="5" applyNumberFormat="1" applyFont="1" applyFill="1" applyBorder="1" applyAlignment="1">
      <alignment horizontal="center" vertical="center" wrapText="1"/>
    </xf>
    <xf numFmtId="4" fontId="17" fillId="0" borderId="1" xfId="6" applyNumberFormat="1" applyFont="1" applyFill="1" applyBorder="1" applyAlignment="1">
      <alignment horizontal="center" vertical="center" wrapText="1"/>
    </xf>
    <xf numFmtId="2" fontId="17" fillId="0" borderId="1" xfId="7" applyNumberFormat="1" applyFont="1" applyFill="1" applyBorder="1" applyAlignment="1">
      <alignment horizontal="center" vertical="center" wrapText="1"/>
    </xf>
    <xf numFmtId="4" fontId="17" fillId="0" borderId="1" xfId="8" applyNumberFormat="1" applyFont="1" applyFill="1" applyBorder="1" applyAlignment="1">
      <alignment horizontal="center" vertical="center" wrapText="1"/>
    </xf>
    <xf numFmtId="164" fontId="16" fillId="0" borderId="1" xfId="9" applyNumberFormat="1" applyFont="1" applyFill="1" applyBorder="1" applyAlignment="1">
      <alignment horizontal="center" vertical="center" wrapText="1"/>
    </xf>
    <xf numFmtId="0" fontId="16" fillId="0" borderId="1" xfId="10" applyFont="1" applyFill="1" applyBorder="1" applyAlignment="1">
      <alignment horizontal="left" vertical="center" wrapText="1"/>
    </xf>
    <xf numFmtId="0" fontId="16" fillId="0" borderId="1" xfId="11" applyFont="1" applyFill="1" applyBorder="1" applyAlignment="1">
      <alignment horizontal="center" vertical="center" wrapText="1"/>
    </xf>
    <xf numFmtId="4" fontId="16" fillId="0" borderId="1" xfId="4" applyNumberFormat="1" applyFont="1" applyFill="1" applyBorder="1" applyAlignment="1">
      <alignment horizontal="right" vertical="center" wrapText="1"/>
    </xf>
    <xf numFmtId="43" fontId="16" fillId="0" borderId="1" xfId="12" applyFont="1" applyFill="1" applyBorder="1" applyAlignment="1">
      <alignment horizontal="right" vertical="center" wrapText="1"/>
    </xf>
    <xf numFmtId="43" fontId="16" fillId="0" borderId="1" xfId="12" applyFont="1" applyFill="1" applyBorder="1" applyAlignment="1">
      <alignment horizontal="center" vertical="center" wrapText="1"/>
    </xf>
    <xf numFmtId="4" fontId="7" fillId="0" borderId="1" xfId="4" applyNumberFormat="1" applyFont="1" applyFill="1" applyBorder="1" applyAlignment="1">
      <alignment horizontal="right" vertical="center" wrapText="1"/>
    </xf>
    <xf numFmtId="4" fontId="7" fillId="0" borderId="1" xfId="2" applyNumberFormat="1" applyFont="1" applyFill="1" applyBorder="1" applyAlignment="1">
      <alignment horizontal="center" vertical="center"/>
    </xf>
    <xf numFmtId="43" fontId="7" fillId="0" borderId="1" xfId="1" applyFont="1" applyFill="1" applyBorder="1" applyAlignment="1">
      <alignment vertical="center" wrapText="1"/>
    </xf>
    <xf numFmtId="4" fontId="7" fillId="0" borderId="1" xfId="5" applyNumberFormat="1" applyFont="1" applyFill="1" applyBorder="1" applyAlignment="1">
      <alignment horizontal="center" vertical="center" wrapText="1"/>
    </xf>
    <xf numFmtId="4" fontId="7" fillId="0" borderId="1" xfId="10" applyNumberFormat="1" applyFont="1" applyFill="1" applyBorder="1" applyAlignment="1">
      <alignment horizontal="right" vertical="center"/>
    </xf>
    <xf numFmtId="3" fontId="7" fillId="0" borderId="1" xfId="16" applyNumberFormat="1" applyFont="1" applyFill="1" applyBorder="1" applyAlignment="1">
      <alignment horizontal="center" vertical="center" wrapText="1"/>
    </xf>
    <xf numFmtId="43" fontId="7" fillId="0" borderId="1" xfId="1" applyFont="1" applyFill="1" applyBorder="1" applyAlignment="1">
      <alignment vertical="center"/>
    </xf>
    <xf numFmtId="0" fontId="7" fillId="0" borderId="1" xfId="15" quotePrefix="1" applyFont="1" applyFill="1" applyBorder="1" applyAlignment="1">
      <alignment horizontal="center" vertical="center" wrapText="1"/>
    </xf>
    <xf numFmtId="3" fontId="16" fillId="0" borderId="1" xfId="9" applyNumberFormat="1" applyFont="1" applyFill="1" applyBorder="1" applyAlignment="1">
      <alignment horizontal="center" vertical="center" wrapText="1"/>
    </xf>
    <xf numFmtId="2" fontId="16" fillId="0" borderId="1" xfId="17" applyNumberFormat="1" applyFont="1" applyFill="1" applyBorder="1" applyAlignment="1">
      <alignment horizontal="left" vertical="center" wrapText="1"/>
    </xf>
    <xf numFmtId="2" fontId="16" fillId="0" borderId="1" xfId="3" applyNumberFormat="1" applyFont="1" applyFill="1" applyBorder="1" applyAlignment="1">
      <alignment horizontal="center" vertical="center" wrapText="1"/>
    </xf>
    <xf numFmtId="43" fontId="16" fillId="0" borderId="1" xfId="12" applyFont="1" applyFill="1" applyBorder="1" applyAlignment="1">
      <alignment horizontal="right" vertical="center"/>
    </xf>
    <xf numFmtId="4" fontId="7" fillId="0" borderId="1" xfId="9" applyNumberFormat="1" applyFont="1" applyFill="1" applyBorder="1" applyAlignment="1">
      <alignment horizontal="center" vertical="center" wrapText="1"/>
    </xf>
    <xf numFmtId="0" fontId="7" fillId="0" borderId="1" xfId="2" applyFont="1" applyFill="1" applyBorder="1" applyAlignment="1">
      <alignment vertical="center" wrapText="1"/>
    </xf>
    <xf numFmtId="4" fontId="7" fillId="0" borderId="1" xfId="2" applyNumberFormat="1" applyFont="1" applyFill="1" applyBorder="1" applyAlignment="1">
      <alignment vertical="center"/>
    </xf>
    <xf numFmtId="165" fontId="7" fillId="0" borderId="1" xfId="10" applyNumberFormat="1" applyFont="1" applyFill="1" applyBorder="1" applyAlignment="1">
      <alignment horizontal="center" vertical="center" wrapText="1"/>
    </xf>
    <xf numFmtId="4" fontId="7" fillId="0" borderId="1" xfId="10" applyNumberFormat="1" applyFont="1" applyFill="1" applyBorder="1" applyAlignment="1">
      <alignment horizontal="center" vertical="center" wrapText="1"/>
    </xf>
    <xf numFmtId="2" fontId="7" fillId="0" borderId="1" xfId="3" applyNumberFormat="1" applyFont="1" applyFill="1" applyBorder="1" applyAlignment="1">
      <alignment horizontal="center" vertical="center"/>
    </xf>
    <xf numFmtId="49" fontId="7" fillId="0" borderId="1" xfId="3" applyNumberFormat="1" applyFont="1" applyFill="1" applyBorder="1" applyAlignment="1">
      <alignment horizontal="center" vertical="center"/>
    </xf>
    <xf numFmtId="1" fontId="7" fillId="0" borderId="1" xfId="16" applyNumberFormat="1" applyFont="1" applyFill="1" applyBorder="1" applyAlignment="1">
      <alignment horizontal="center" vertical="center" wrapText="1"/>
    </xf>
    <xf numFmtId="165" fontId="7" fillId="0" borderId="1" xfId="18" applyNumberFormat="1" applyFont="1" applyFill="1" applyBorder="1" applyAlignment="1">
      <alignment horizontal="center" vertical="center" wrapText="1"/>
    </xf>
    <xf numFmtId="4" fontId="16" fillId="0" borderId="1" xfId="2" applyNumberFormat="1" applyFont="1" applyFill="1" applyBorder="1" applyAlignment="1">
      <alignment horizontal="right" vertical="center" wrapText="1"/>
    </xf>
    <xf numFmtId="43" fontId="16" fillId="0" borderId="1" xfId="12" applyFont="1" applyFill="1" applyBorder="1" applyAlignment="1">
      <alignment horizontal="left" vertical="center" wrapText="1"/>
    </xf>
    <xf numFmtId="43" fontId="16" fillId="0" borderId="1" xfId="12" applyFont="1" applyFill="1" applyBorder="1" applyAlignment="1">
      <alignment horizontal="center" vertical="center"/>
    </xf>
    <xf numFmtId="43" fontId="16" fillId="0" borderId="1" xfId="1" applyFont="1" applyFill="1" applyBorder="1" applyAlignment="1">
      <alignment horizontal="right" vertical="center" wrapText="1"/>
    </xf>
    <xf numFmtId="43" fontId="7" fillId="0" borderId="1" xfId="12" applyFont="1" applyFill="1" applyBorder="1" applyAlignment="1">
      <alignment horizontal="right" vertical="center" wrapText="1"/>
    </xf>
    <xf numFmtId="43" fontId="18" fillId="0" borderId="1" xfId="12" applyFont="1" applyFill="1" applyBorder="1" applyAlignment="1">
      <alignment horizontal="right" vertical="center" wrapText="1"/>
    </xf>
    <xf numFmtId="4" fontId="7" fillId="0" borderId="1" xfId="9" applyNumberFormat="1" applyFont="1" applyFill="1" applyBorder="1" applyAlignment="1">
      <alignment horizontal="center" vertical="center"/>
    </xf>
    <xf numFmtId="1" fontId="7" fillId="0" borderId="1" xfId="10" applyNumberFormat="1" applyFont="1" applyFill="1" applyBorder="1" applyAlignment="1" applyProtection="1">
      <alignment horizontal="left" vertical="center" wrapText="1"/>
      <protection locked="0"/>
    </xf>
    <xf numFmtId="4" fontId="7" fillId="0" borderId="1" xfId="2" applyNumberFormat="1" applyFont="1" applyFill="1" applyBorder="1" applyAlignment="1">
      <alignment vertical="center" wrapText="1"/>
    </xf>
    <xf numFmtId="43" fontId="7" fillId="0" borderId="1" xfId="12" applyFont="1" applyFill="1" applyBorder="1" applyAlignment="1">
      <alignment horizontal="right" vertical="center"/>
    </xf>
    <xf numFmtId="0" fontId="7" fillId="0" borderId="1" xfId="14" applyFont="1" applyFill="1" applyBorder="1" applyAlignment="1">
      <alignment horizontal="center" vertical="center"/>
    </xf>
    <xf numFmtId="0" fontId="18" fillId="0" borderId="1" xfId="10" applyFont="1" applyFill="1" applyBorder="1" applyAlignment="1">
      <alignment horizontal="left" vertical="center" wrapText="1"/>
    </xf>
    <xf numFmtId="0" fontId="18" fillId="0" borderId="1" xfId="11" applyFont="1" applyFill="1" applyBorder="1" applyAlignment="1">
      <alignment horizontal="center" vertical="center" wrapText="1"/>
    </xf>
    <xf numFmtId="4" fontId="18" fillId="0" borderId="1" xfId="2" applyNumberFormat="1" applyFont="1" applyFill="1" applyBorder="1" applyAlignment="1">
      <alignment horizontal="right" vertical="center" wrapText="1"/>
    </xf>
    <xf numFmtId="4" fontId="18" fillId="0" borderId="1" xfId="4" applyNumberFormat="1" applyFont="1" applyFill="1" applyBorder="1" applyAlignment="1">
      <alignment horizontal="center" vertical="center" wrapText="1"/>
    </xf>
    <xf numFmtId="4" fontId="18" fillId="0" borderId="1" xfId="5" applyNumberFormat="1" applyFont="1" applyFill="1" applyBorder="1" applyAlignment="1">
      <alignment horizontal="center" vertical="center" wrapText="1"/>
    </xf>
    <xf numFmtId="4" fontId="18" fillId="0" borderId="1" xfId="10" applyNumberFormat="1" applyFont="1" applyFill="1" applyBorder="1" applyAlignment="1">
      <alignment horizontal="right" vertical="center"/>
    </xf>
    <xf numFmtId="4" fontId="18" fillId="0" borderId="1" xfId="2" applyNumberFormat="1" applyFont="1" applyFill="1" applyBorder="1" applyAlignment="1">
      <alignment horizontal="center" vertical="center" wrapText="1"/>
    </xf>
    <xf numFmtId="4" fontId="18" fillId="0" borderId="1" xfId="19" applyNumberFormat="1" applyFont="1" applyFill="1" applyBorder="1" applyAlignment="1">
      <alignment horizontal="center" vertical="center"/>
    </xf>
    <xf numFmtId="4" fontId="18" fillId="0" borderId="1" xfId="2" applyNumberFormat="1" applyFont="1" applyFill="1" applyBorder="1" applyAlignment="1">
      <alignment horizontal="center" vertical="center"/>
    </xf>
    <xf numFmtId="43" fontId="18" fillId="0" borderId="1" xfId="1" applyFont="1" applyFill="1" applyBorder="1" applyAlignment="1">
      <alignment horizontal="center" vertical="center"/>
    </xf>
    <xf numFmtId="0" fontId="7" fillId="0" borderId="1" xfId="2" applyFont="1" applyFill="1" applyBorder="1" applyAlignment="1">
      <alignment horizontal="center" vertical="center"/>
    </xf>
    <xf numFmtId="4" fontId="7" fillId="0" borderId="1" xfId="11" applyNumberFormat="1" applyFont="1" applyFill="1" applyBorder="1" applyAlignment="1">
      <alignment horizontal="right" vertical="center" wrapText="1"/>
    </xf>
    <xf numFmtId="43" fontId="7" fillId="0" borderId="1" xfId="1" applyFont="1" applyFill="1" applyBorder="1" applyAlignment="1">
      <alignment horizontal="center" vertical="center"/>
    </xf>
    <xf numFmtId="4" fontId="16" fillId="0" borderId="1" xfId="2" applyNumberFormat="1" applyFont="1" applyFill="1" applyBorder="1" applyAlignment="1">
      <alignment horizontal="right" vertical="center"/>
    </xf>
    <xf numFmtId="0" fontId="7" fillId="0" borderId="1" xfId="15" applyFont="1" applyFill="1" applyBorder="1" applyAlignment="1">
      <alignment horizontal="left" vertical="center" wrapText="1"/>
    </xf>
    <xf numFmtId="2" fontId="7" fillId="0" borderId="1" xfId="2" applyNumberFormat="1" applyFont="1" applyFill="1" applyBorder="1" applyAlignment="1">
      <alignment horizontal="right" vertical="center" wrapText="1"/>
    </xf>
    <xf numFmtId="168" fontId="7" fillId="0" borderId="1" xfId="2" applyNumberFormat="1" applyFont="1" applyFill="1" applyBorder="1" applyAlignment="1">
      <alignment horizontal="center" vertical="center" wrapText="1"/>
    </xf>
    <xf numFmtId="0" fontId="7" fillId="0" borderId="1" xfId="13" applyFont="1" applyFill="1" applyBorder="1" applyAlignment="1">
      <alignment horizontal="left" vertical="center" wrapText="1"/>
    </xf>
    <xf numFmtId="0" fontId="16" fillId="0" borderId="1" xfId="11" applyFont="1" applyFill="1" applyBorder="1" applyAlignment="1">
      <alignment horizontal="center" vertical="center"/>
    </xf>
    <xf numFmtId="0" fontId="16" fillId="0" borderId="1" xfId="15" applyFont="1" applyFill="1" applyBorder="1" applyAlignment="1">
      <alignment horizontal="left" vertical="center" wrapText="1"/>
    </xf>
    <xf numFmtId="0" fontId="7" fillId="0" borderId="1" xfId="10" quotePrefix="1" applyFont="1" applyFill="1" applyBorder="1" applyAlignment="1">
      <alignment horizontal="left" vertical="center" wrapText="1"/>
    </xf>
    <xf numFmtId="0" fontId="7" fillId="0" borderId="1" xfId="0" applyFont="1" applyFill="1" applyBorder="1" applyAlignment="1">
      <alignment horizontal="center" vertical="center" wrapText="1"/>
    </xf>
    <xf numFmtId="43" fontId="7" fillId="0" borderId="1" xfId="12" applyFont="1" applyFill="1" applyBorder="1" applyAlignment="1">
      <alignment vertical="center"/>
    </xf>
    <xf numFmtId="4" fontId="18" fillId="0" borderId="1" xfId="2" applyNumberFormat="1" applyFont="1" applyFill="1" applyBorder="1" applyAlignment="1">
      <alignment horizontal="right" vertical="center"/>
    </xf>
    <xf numFmtId="1" fontId="18" fillId="0" borderId="1" xfId="15" applyNumberFormat="1" applyFont="1" applyFill="1" applyBorder="1" applyAlignment="1" applyProtection="1">
      <alignment horizontal="left" vertical="center" wrapText="1"/>
      <protection locked="0"/>
    </xf>
    <xf numFmtId="4" fontId="18" fillId="0" borderId="1" xfId="9" applyNumberFormat="1" applyFont="1" applyFill="1" applyBorder="1" applyAlignment="1">
      <alignment horizontal="right" vertical="center"/>
    </xf>
    <xf numFmtId="4" fontId="18" fillId="0" borderId="1" xfId="9" applyNumberFormat="1" applyFont="1" applyFill="1" applyBorder="1" applyAlignment="1">
      <alignment horizontal="right" vertical="center" wrapText="1"/>
    </xf>
    <xf numFmtId="0" fontId="18" fillId="0" borderId="1" xfId="2" applyFont="1" applyFill="1" applyBorder="1" applyAlignment="1">
      <alignment horizontal="center" vertical="center" wrapText="1"/>
    </xf>
    <xf numFmtId="4" fontId="18" fillId="0" borderId="1" xfId="9" applyNumberFormat="1" applyFont="1" applyFill="1" applyBorder="1" applyAlignment="1">
      <alignment horizontal="center" vertical="center"/>
    </xf>
    <xf numFmtId="43" fontId="7" fillId="0" borderId="1" xfId="21" applyFont="1" applyFill="1" applyBorder="1" applyAlignment="1">
      <alignment horizontal="right" vertical="center" wrapText="1"/>
    </xf>
    <xf numFmtId="2" fontId="18" fillId="0" borderId="1" xfId="3" applyNumberFormat="1" applyFont="1" applyFill="1" applyBorder="1" applyAlignment="1">
      <alignment horizontal="center" vertical="center" wrapText="1"/>
    </xf>
    <xf numFmtId="4" fontId="18" fillId="0" borderId="1" xfId="9" applyNumberFormat="1" applyFont="1" applyFill="1" applyBorder="1" applyAlignment="1">
      <alignment horizontal="center" vertical="center" wrapText="1"/>
    </xf>
    <xf numFmtId="49" fontId="18" fillId="0" borderId="1" xfId="14" applyNumberFormat="1" applyFont="1" applyFill="1" applyBorder="1" applyAlignment="1">
      <alignment horizontal="center" vertical="center"/>
    </xf>
    <xf numFmtId="0" fontId="18" fillId="0" borderId="1" xfId="9" applyNumberFormat="1" applyFont="1" applyFill="1" applyBorder="1" applyAlignment="1">
      <alignment horizontal="center" vertical="center" wrapText="1"/>
    </xf>
    <xf numFmtId="4" fontId="18" fillId="0" borderId="1" xfId="2" applyNumberFormat="1" applyFont="1" applyFill="1" applyBorder="1" applyAlignment="1">
      <alignment horizontal="left" vertical="center" wrapText="1"/>
    </xf>
    <xf numFmtId="0" fontId="18" fillId="0" borderId="1" xfId="14" applyFont="1" applyFill="1" applyBorder="1" applyAlignment="1">
      <alignment horizontal="center" vertical="center"/>
    </xf>
    <xf numFmtId="0" fontId="18" fillId="0" borderId="1" xfId="15" applyFont="1" applyFill="1" applyBorder="1" applyAlignment="1">
      <alignment horizontal="left" vertical="center" wrapText="1"/>
    </xf>
    <xf numFmtId="4" fontId="18" fillId="0" borderId="1" xfId="11" applyNumberFormat="1" applyFont="1" applyFill="1" applyBorder="1" applyAlignment="1">
      <alignment horizontal="right" vertical="center"/>
    </xf>
    <xf numFmtId="0" fontId="7" fillId="0" borderId="1" xfId="23" applyFont="1" applyFill="1" applyBorder="1" applyAlignment="1">
      <alignment horizontal="left" vertical="center" wrapText="1" shrinkToFit="1"/>
    </xf>
    <xf numFmtId="0" fontId="7" fillId="0" borderId="1" xfId="10" quotePrefix="1" applyFont="1" applyFill="1" applyBorder="1" applyAlignment="1">
      <alignment horizontal="center" vertical="center" wrapText="1"/>
    </xf>
    <xf numFmtId="0" fontId="7" fillId="0" borderId="1" xfId="2" applyFont="1" applyFill="1" applyBorder="1" applyAlignment="1">
      <alignment vertical="center"/>
    </xf>
    <xf numFmtId="3" fontId="16" fillId="0" borderId="1" xfId="2" applyNumberFormat="1" applyFont="1" applyFill="1" applyBorder="1" applyAlignment="1">
      <alignment horizontal="center" vertical="center" wrapText="1"/>
    </xf>
    <xf numFmtId="49" fontId="16" fillId="0" borderId="1" xfId="11" applyNumberFormat="1" applyFont="1" applyFill="1" applyBorder="1" applyAlignment="1">
      <alignment horizontal="center" vertical="center"/>
    </xf>
    <xf numFmtId="169" fontId="7" fillId="0" borderId="1" xfId="25" applyNumberFormat="1" applyFont="1" applyFill="1" applyBorder="1" applyAlignment="1">
      <alignment horizontal="center" vertical="center" wrapText="1"/>
    </xf>
    <xf numFmtId="0" fontId="16" fillId="0" borderId="1" xfId="27" applyFont="1" applyFill="1" applyBorder="1" applyAlignment="1">
      <alignment horizontal="left" vertical="center" wrapText="1"/>
    </xf>
    <xf numFmtId="4" fontId="7" fillId="0" borderId="1" xfId="10" applyNumberFormat="1" applyFont="1" applyFill="1" applyBorder="1" applyAlignment="1">
      <alignment horizontal="right" vertical="center" wrapText="1"/>
    </xf>
    <xf numFmtId="0" fontId="7" fillId="0" borderId="1" xfId="15" quotePrefix="1" applyFont="1" applyFill="1" applyBorder="1" applyAlignment="1">
      <alignment vertical="center" wrapText="1"/>
    </xf>
    <xf numFmtId="4" fontId="7" fillId="0" borderId="1" xfId="20" applyNumberFormat="1" applyFont="1" applyFill="1" applyBorder="1" applyAlignment="1">
      <alignment horizontal="center" vertical="center"/>
    </xf>
    <xf numFmtId="3" fontId="7" fillId="0" borderId="1" xfId="10" applyNumberFormat="1" applyFont="1" applyFill="1" applyBorder="1" applyAlignment="1">
      <alignment horizontal="center" vertical="center" wrapText="1"/>
    </xf>
    <xf numFmtId="0" fontId="7" fillId="0" borderId="1" xfId="20" applyFont="1" applyFill="1" applyBorder="1" applyAlignment="1">
      <alignment horizontal="center" vertical="center"/>
    </xf>
    <xf numFmtId="166" fontId="7" fillId="0" borderId="1" xfId="20" applyNumberFormat="1" applyFont="1" applyFill="1" applyBorder="1" applyAlignment="1">
      <alignment horizontal="center" vertical="center"/>
    </xf>
    <xf numFmtId="166" fontId="7" fillId="0" borderId="1" xfId="2" applyNumberFormat="1" applyFont="1" applyFill="1" applyBorder="1" applyAlignment="1">
      <alignment horizontal="center" vertical="center" wrapText="1"/>
    </xf>
    <xf numFmtId="165" fontId="7" fillId="0" borderId="1" xfId="28" applyNumberFormat="1" applyFont="1" applyFill="1" applyBorder="1" applyAlignment="1">
      <alignment horizontal="center" vertical="center" wrapText="1"/>
    </xf>
    <xf numFmtId="3" fontId="7" fillId="0" borderId="1" xfId="3" applyNumberFormat="1" applyFont="1" applyFill="1" applyBorder="1" applyAlignment="1">
      <alignment horizontal="center" vertical="center" wrapText="1"/>
    </xf>
    <xf numFmtId="166" fontId="7" fillId="0" borderId="1" xfId="4" applyNumberFormat="1" applyFont="1" applyFill="1" applyBorder="1" applyAlignment="1">
      <alignment horizontal="center" vertical="center" wrapText="1"/>
    </xf>
    <xf numFmtId="166" fontId="7" fillId="0" borderId="1" xfId="9" applyNumberFormat="1" applyFont="1" applyFill="1" applyBorder="1" applyAlignment="1">
      <alignment horizontal="center" vertical="center" wrapText="1"/>
    </xf>
    <xf numFmtId="166" fontId="7" fillId="0" borderId="1" xfId="9" applyNumberFormat="1" applyFont="1" applyFill="1" applyBorder="1" applyAlignment="1">
      <alignment horizontal="right" vertical="center" wrapText="1"/>
    </xf>
    <xf numFmtId="166" fontId="7" fillId="0" borderId="1" xfId="11" applyNumberFormat="1" applyFont="1" applyFill="1" applyBorder="1" applyAlignment="1">
      <alignment horizontal="center" vertical="center"/>
    </xf>
    <xf numFmtId="2" fontId="7" fillId="0" borderId="1" xfId="2" applyNumberFormat="1" applyFont="1" applyFill="1" applyBorder="1" applyAlignment="1">
      <alignment horizontal="left" vertical="center" wrapText="1"/>
    </xf>
    <xf numFmtId="0" fontId="7" fillId="0" borderId="1" xfId="11" quotePrefix="1" applyFont="1" applyFill="1" applyBorder="1" applyAlignment="1">
      <alignment horizontal="left" vertical="center" wrapText="1"/>
    </xf>
    <xf numFmtId="166" fontId="7" fillId="0" borderId="1" xfId="2" applyNumberFormat="1" applyFont="1" applyFill="1" applyBorder="1" applyAlignment="1">
      <alignment vertical="center" wrapText="1"/>
    </xf>
    <xf numFmtId="171" fontId="7" fillId="0" borderId="1" xfId="6" applyNumberFormat="1" applyFont="1" applyFill="1" applyBorder="1" applyAlignment="1">
      <alignment horizontal="left" vertical="center" wrapText="1"/>
    </xf>
    <xf numFmtId="4" fontId="7" fillId="0" borderId="1" xfId="20" applyNumberFormat="1" applyFont="1" applyFill="1" applyBorder="1" applyAlignment="1">
      <alignment horizontal="right" vertical="center" wrapText="1"/>
    </xf>
    <xf numFmtId="43" fontId="7" fillId="0" borderId="1" xfId="12" applyFont="1" applyFill="1" applyBorder="1" applyAlignment="1">
      <alignment horizontal="left" vertical="center" wrapText="1"/>
    </xf>
    <xf numFmtId="49" fontId="7" fillId="0" borderId="1" xfId="10" applyNumberFormat="1" applyFont="1" applyFill="1" applyBorder="1" applyAlignment="1">
      <alignment horizontal="left" vertical="center" wrapText="1"/>
    </xf>
    <xf numFmtId="3" fontId="7" fillId="0" borderId="1" xfId="10" applyNumberFormat="1" applyFont="1" applyFill="1" applyBorder="1" applyAlignment="1">
      <alignment horizontal="left" vertical="center" wrapText="1"/>
    </xf>
    <xf numFmtId="0" fontId="7" fillId="0" borderId="1" xfId="2" quotePrefix="1" applyFont="1" applyFill="1" applyBorder="1" applyAlignment="1">
      <alignment horizontal="center" vertical="center" wrapText="1"/>
    </xf>
    <xf numFmtId="0" fontId="7" fillId="0" borderId="1" xfId="22" applyFont="1" applyFill="1" applyBorder="1" applyAlignment="1">
      <alignment horizontal="center" vertical="center"/>
    </xf>
    <xf numFmtId="0" fontId="16" fillId="0" borderId="1" xfId="11" applyFont="1" applyFill="1" applyBorder="1" applyAlignment="1">
      <alignment horizontal="left" vertical="center" wrapText="1"/>
    </xf>
    <xf numFmtId="0" fontId="16" fillId="0" borderId="1" xfId="10" applyFont="1" applyFill="1" applyBorder="1" applyAlignment="1">
      <alignment horizontal="center" vertical="center" wrapText="1"/>
    </xf>
    <xf numFmtId="43" fontId="7" fillId="0" borderId="1" xfId="1" applyFont="1" applyFill="1" applyBorder="1" applyAlignment="1">
      <alignment horizontal="right" vertical="center"/>
    </xf>
    <xf numFmtId="4" fontId="7" fillId="0" borderId="1" xfId="1" applyNumberFormat="1" applyFont="1" applyFill="1" applyBorder="1" applyAlignment="1">
      <alignment horizontal="right" vertical="center" wrapText="1"/>
    </xf>
    <xf numFmtId="0" fontId="7" fillId="0" borderId="1" xfId="0" applyFont="1" applyFill="1" applyBorder="1" applyAlignment="1">
      <alignment horizontal="center" vertical="center"/>
    </xf>
    <xf numFmtId="49" fontId="16" fillId="0" borderId="1" xfId="2" applyNumberFormat="1" applyFont="1" applyFill="1" applyBorder="1" applyAlignment="1">
      <alignment horizontal="center" vertical="center"/>
    </xf>
    <xf numFmtId="0" fontId="16" fillId="0" borderId="1" xfId="30" applyFont="1" applyFill="1" applyBorder="1" applyAlignment="1">
      <alignment horizontal="left" vertical="center" wrapText="1"/>
    </xf>
    <xf numFmtId="1" fontId="16" fillId="0" borderId="1" xfId="29" applyNumberFormat="1" applyFont="1" applyFill="1" applyBorder="1" applyAlignment="1">
      <alignment horizontal="center" vertical="center"/>
    </xf>
    <xf numFmtId="1" fontId="16" fillId="0" borderId="1" xfId="29" applyNumberFormat="1" applyFont="1" applyFill="1" applyBorder="1" applyAlignment="1">
      <alignment horizontal="center" vertical="center" wrapText="1"/>
    </xf>
    <xf numFmtId="0" fontId="16" fillId="0" borderId="1" xfId="9" applyNumberFormat="1" applyFont="1" applyFill="1" applyBorder="1" applyAlignment="1">
      <alignment horizontal="center" vertical="center" wrapText="1"/>
    </xf>
    <xf numFmtId="2" fontId="16" fillId="0" borderId="1" xfId="31" applyNumberFormat="1" applyFont="1" applyFill="1" applyBorder="1" applyAlignment="1">
      <alignment horizontal="left" vertical="center" wrapText="1"/>
    </xf>
    <xf numFmtId="2" fontId="16" fillId="0" borderId="1" xfId="3" applyNumberFormat="1" applyFont="1" applyFill="1" applyBorder="1" applyAlignment="1">
      <alignment horizontal="center" vertical="center"/>
    </xf>
    <xf numFmtId="43" fontId="16" fillId="0" borderId="1" xfId="1" applyFont="1" applyFill="1" applyBorder="1" applyAlignment="1">
      <alignment horizontal="right" vertical="center"/>
    </xf>
    <xf numFmtId="49" fontId="7" fillId="0" borderId="1" xfId="11" applyNumberFormat="1" applyFont="1" applyFill="1" applyBorder="1" applyAlignment="1">
      <alignment horizontal="center" vertical="center" wrapText="1"/>
    </xf>
    <xf numFmtId="1" fontId="7" fillId="0" borderId="1" xfId="10" applyNumberFormat="1" applyFont="1" applyFill="1" applyBorder="1" applyAlignment="1" applyProtection="1">
      <alignment vertical="center" wrapText="1"/>
      <protection locked="0"/>
    </xf>
    <xf numFmtId="0" fontId="16" fillId="0" borderId="1" xfId="2" applyFont="1" applyFill="1" applyBorder="1" applyAlignment="1">
      <alignment horizontal="left" vertical="center" wrapText="1"/>
    </xf>
    <xf numFmtId="0" fontId="16" fillId="0" borderId="1" xfId="15" applyFont="1" applyFill="1" applyBorder="1" applyAlignment="1">
      <alignment horizontal="center" vertical="center" wrapText="1"/>
    </xf>
    <xf numFmtId="43" fontId="16" fillId="0" borderId="1" xfId="1" applyFont="1" applyFill="1" applyBorder="1" applyAlignment="1">
      <alignment horizontal="center" vertical="center" wrapText="1"/>
    </xf>
    <xf numFmtId="49" fontId="16" fillId="0" borderId="1" xfId="3" applyNumberFormat="1" applyFont="1" applyFill="1" applyBorder="1" applyAlignment="1">
      <alignment horizontal="center" vertical="center"/>
    </xf>
    <xf numFmtId="0" fontId="16" fillId="0" borderId="1" xfId="2" applyFont="1" applyFill="1" applyBorder="1" applyAlignment="1">
      <alignment horizontal="center" vertical="center"/>
    </xf>
    <xf numFmtId="4" fontId="16" fillId="0" borderId="1" xfId="2" applyNumberFormat="1" applyFont="1" applyFill="1" applyBorder="1" applyAlignment="1">
      <alignment horizontal="center" vertical="center"/>
    </xf>
    <xf numFmtId="43" fontId="16" fillId="0" borderId="1" xfId="1" applyFont="1" applyFill="1" applyBorder="1" applyAlignment="1">
      <alignment horizontal="center" vertical="center"/>
    </xf>
    <xf numFmtId="1" fontId="7" fillId="0" borderId="1" xfId="16" applyNumberFormat="1" applyFont="1" applyFill="1" applyBorder="1" applyAlignment="1">
      <alignment horizontal="left" vertical="center" wrapText="1"/>
    </xf>
    <xf numFmtId="3" fontId="16" fillId="0" borderId="1" xfId="11" applyNumberFormat="1" applyFont="1" applyFill="1" applyBorder="1" applyAlignment="1">
      <alignment horizontal="center" vertical="center"/>
    </xf>
    <xf numFmtId="165" fontId="16" fillId="0" borderId="1" xfId="17" applyNumberFormat="1" applyFont="1" applyFill="1" applyBorder="1" applyAlignment="1">
      <alignment horizontal="left" vertical="center" wrapText="1"/>
    </xf>
    <xf numFmtId="4" fontId="14" fillId="3" borderId="0" xfId="2" applyNumberFormat="1" applyFont="1" applyFill="1" applyAlignment="1">
      <alignment horizontal="center" vertical="center"/>
    </xf>
    <xf numFmtId="49" fontId="16" fillId="0" borderId="1" xfId="3"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4" fontId="16" fillId="0" borderId="1" xfId="4" applyNumberFormat="1" applyFont="1" applyFill="1" applyBorder="1" applyAlignment="1">
      <alignment horizontal="center" vertical="center" wrapText="1"/>
    </xf>
    <xf numFmtId="4" fontId="17" fillId="0" borderId="1" xfId="4" applyNumberFormat="1" applyFont="1" applyFill="1" applyBorder="1" applyAlignment="1">
      <alignment horizontal="center" vertical="center" wrapText="1"/>
    </xf>
    <xf numFmtId="43" fontId="18" fillId="0" borderId="1" xfId="12" applyFont="1" applyFill="1" applyBorder="1" applyAlignment="1">
      <alignment horizontal="center" vertical="center"/>
    </xf>
    <xf numFmtId="4" fontId="7" fillId="0" borderId="1" xfId="10" applyNumberFormat="1" applyFont="1" applyFill="1" applyBorder="1" applyAlignment="1">
      <alignment horizontal="center" vertical="center"/>
    </xf>
    <xf numFmtId="2" fontId="7" fillId="0" borderId="1" xfId="10" quotePrefix="1" applyNumberFormat="1" applyFont="1" applyFill="1" applyBorder="1" applyAlignment="1">
      <alignment horizontal="center" vertical="center" wrapText="1"/>
    </xf>
    <xf numFmtId="4" fontId="7" fillId="0" borderId="1" xfId="13" applyNumberFormat="1" applyFont="1" applyFill="1" applyBorder="1" applyAlignment="1">
      <alignment vertical="center" wrapText="1"/>
    </xf>
    <xf numFmtId="4" fontId="7" fillId="0" borderId="1" xfId="13" applyNumberFormat="1" applyFont="1" applyFill="1" applyBorder="1" applyAlignment="1">
      <alignment horizontal="center" vertical="center" wrapText="1"/>
    </xf>
    <xf numFmtId="1" fontId="7" fillId="0" borderId="1" xfId="15" applyNumberFormat="1" applyFont="1" applyFill="1" applyBorder="1" applyAlignment="1" applyProtection="1">
      <alignment horizontal="left" vertical="center" wrapText="1"/>
      <protection locked="0"/>
    </xf>
    <xf numFmtId="4" fontId="7" fillId="0" borderId="1" xfId="19" applyNumberFormat="1" applyFont="1" applyFill="1" applyBorder="1" applyAlignment="1">
      <alignment horizontal="center" vertical="center"/>
    </xf>
    <xf numFmtId="49" fontId="7" fillId="0" borderId="1" xfId="10" applyNumberFormat="1" applyFont="1" applyFill="1" applyBorder="1" applyAlignment="1">
      <alignment horizontal="center" vertical="center" wrapText="1"/>
    </xf>
    <xf numFmtId="43" fontId="7" fillId="0" borderId="1" xfId="12" applyFont="1" applyFill="1" applyBorder="1" applyAlignment="1">
      <alignment horizontal="left" vertical="center"/>
    </xf>
    <xf numFmtId="0" fontId="7" fillId="0" borderId="1" xfId="10" applyFont="1" applyFill="1" applyBorder="1" applyAlignment="1" applyProtection="1">
      <alignment horizontal="center" vertical="center" wrapText="1"/>
      <protection locked="0"/>
    </xf>
    <xf numFmtId="0" fontId="7" fillId="0" borderId="1" xfId="22" applyFont="1" applyFill="1" applyBorder="1" applyAlignment="1">
      <alignment horizontal="left" vertical="center" wrapText="1"/>
    </xf>
    <xf numFmtId="4" fontId="7" fillId="0" borderId="1" xfId="2" applyNumberFormat="1" applyFont="1" applyFill="1" applyBorder="1" applyAlignment="1">
      <alignment horizontal="left" vertical="center" wrapText="1"/>
    </xf>
    <xf numFmtId="164" fontId="7" fillId="0" borderId="1" xfId="26" applyNumberFormat="1" applyFont="1" applyFill="1" applyBorder="1" applyAlignment="1" applyProtection="1">
      <alignment horizontal="left" vertical="center" wrapText="1"/>
      <protection locked="0"/>
    </xf>
    <xf numFmtId="2" fontId="7" fillId="0" borderId="1" xfId="3" quotePrefix="1" applyNumberFormat="1" applyFont="1" applyFill="1" applyBorder="1" applyAlignment="1">
      <alignment horizontal="center" vertical="center" wrapText="1"/>
    </xf>
    <xf numFmtId="2" fontId="7" fillId="0" borderId="1" xfId="11" applyNumberFormat="1" applyFont="1" applyFill="1" applyBorder="1" applyAlignment="1">
      <alignment horizontal="center" vertical="center"/>
    </xf>
    <xf numFmtId="2" fontId="7" fillId="0" borderId="1" xfId="11" applyNumberFormat="1" applyFont="1" applyFill="1" applyBorder="1" applyAlignment="1">
      <alignment horizontal="right" vertical="center"/>
    </xf>
    <xf numFmtId="2" fontId="7" fillId="0" borderId="1" xfId="1" applyNumberFormat="1" applyFont="1" applyFill="1" applyBorder="1" applyAlignment="1">
      <alignment horizontal="right" vertical="center" wrapText="1"/>
    </xf>
    <xf numFmtId="2" fontId="7" fillId="0" borderId="1" xfId="2" applyNumberFormat="1" applyFont="1" applyFill="1" applyBorder="1" applyAlignment="1">
      <alignment horizontal="center" vertical="center" wrapText="1"/>
    </xf>
    <xf numFmtId="2" fontId="7" fillId="0" borderId="1" xfId="4" applyNumberFormat="1" applyFont="1" applyFill="1" applyBorder="1" applyAlignment="1">
      <alignment horizontal="center" vertical="center" wrapText="1"/>
    </xf>
    <xf numFmtId="43" fontId="7" fillId="0" borderId="1" xfId="21" applyFont="1" applyFill="1" applyBorder="1" applyAlignment="1">
      <alignment horizontal="center" vertical="center"/>
    </xf>
    <xf numFmtId="0" fontId="7" fillId="0" borderId="1" xfId="22" quotePrefix="1" applyFont="1" applyFill="1" applyBorder="1" applyAlignment="1">
      <alignment horizontal="center" vertical="center" wrapText="1"/>
    </xf>
    <xf numFmtId="169" fontId="7" fillId="0" borderId="1" xfId="1" applyNumberFormat="1" applyFont="1" applyFill="1" applyBorder="1" applyAlignment="1">
      <alignment horizontal="center" vertical="center" wrapText="1"/>
    </xf>
    <xf numFmtId="43" fontId="7" fillId="0" borderId="1" xfId="1" applyFont="1" applyFill="1" applyBorder="1" applyAlignment="1" applyProtection="1">
      <alignment horizontal="center" vertical="center" wrapText="1"/>
    </xf>
    <xf numFmtId="0" fontId="7" fillId="0" borderId="1" xfId="0" applyFont="1" applyFill="1" applyBorder="1" applyAlignment="1">
      <alignment vertical="center" wrapText="1"/>
    </xf>
    <xf numFmtId="0" fontId="7" fillId="0" borderId="1" xfId="27" applyFont="1" applyFill="1" applyBorder="1" applyAlignment="1">
      <alignment horizontal="left" vertical="center" wrapText="1"/>
    </xf>
    <xf numFmtId="3" fontId="7" fillId="0" borderId="1" xfId="22" applyNumberFormat="1" applyFont="1" applyFill="1" applyBorder="1" applyAlignment="1">
      <alignment horizontal="center" vertical="center"/>
    </xf>
    <xf numFmtId="172" fontId="20" fillId="0" borderId="1" xfId="0" applyNumberFormat="1" applyFont="1" applyFill="1" applyBorder="1" applyAlignment="1">
      <alignment vertical="center"/>
    </xf>
    <xf numFmtId="172" fontId="20" fillId="0" borderId="1" xfId="12" applyNumberFormat="1" applyFont="1" applyFill="1" applyBorder="1" applyAlignment="1">
      <alignment horizontal="right" vertical="center" wrapText="1"/>
    </xf>
    <xf numFmtId="173" fontId="20" fillId="0" borderId="1" xfId="0" applyNumberFormat="1" applyFont="1" applyFill="1" applyBorder="1" applyAlignment="1">
      <alignment vertical="center"/>
    </xf>
    <xf numFmtId="43" fontId="20" fillId="0" borderId="1" xfId="12" applyFont="1" applyFill="1" applyBorder="1" applyAlignment="1">
      <alignment horizontal="right" vertical="center" wrapText="1"/>
    </xf>
    <xf numFmtId="174" fontId="7" fillId="0" borderId="1" xfId="1" applyNumberFormat="1" applyFont="1" applyFill="1" applyBorder="1" applyAlignment="1">
      <alignment horizontal="right" vertical="center" wrapText="1"/>
    </xf>
    <xf numFmtId="174" fontId="7" fillId="0" borderId="1" xfId="1" applyNumberFormat="1" applyFont="1" applyFill="1" applyBorder="1" applyAlignment="1">
      <alignment horizontal="center" vertical="center" wrapText="1"/>
    </xf>
    <xf numFmtId="174" fontId="7" fillId="0" borderId="1" xfId="1" applyNumberFormat="1" applyFont="1" applyFill="1" applyBorder="1" applyAlignment="1">
      <alignment horizontal="right" vertical="center"/>
    </xf>
    <xf numFmtId="0" fontId="7" fillId="0" borderId="1" xfId="9" applyNumberFormat="1" applyFont="1" applyFill="1" applyBorder="1" applyAlignment="1">
      <alignment horizontal="center" vertical="center" wrapText="1"/>
    </xf>
    <xf numFmtId="170" fontId="7" fillId="0" borderId="1" xfId="26" applyNumberFormat="1" applyFont="1" applyFill="1" applyBorder="1" applyAlignment="1" applyProtection="1">
      <alignment horizontal="left" vertical="center" wrapText="1"/>
      <protection locked="0"/>
    </xf>
    <xf numFmtId="4" fontId="7" fillId="0" borderId="1" xfId="8" applyNumberFormat="1" applyFont="1" applyFill="1" applyBorder="1" applyAlignment="1">
      <alignment horizontal="center" vertical="center" wrapText="1"/>
    </xf>
    <xf numFmtId="49" fontId="7" fillId="0" borderId="1" xfId="3" applyNumberFormat="1" applyFont="1" applyFill="1" applyBorder="1" applyAlignment="1">
      <alignment vertical="center"/>
    </xf>
    <xf numFmtId="3" fontId="7" fillId="0" borderId="1" xfId="11" applyNumberFormat="1" applyFont="1" applyFill="1" applyBorder="1" applyAlignment="1">
      <alignment horizontal="center" vertical="center"/>
    </xf>
    <xf numFmtId="0" fontId="7" fillId="0" borderId="1" xfId="11" applyFont="1" applyFill="1" applyBorder="1" applyAlignment="1">
      <alignment horizontal="left" vertical="center" wrapText="1"/>
    </xf>
    <xf numFmtId="165" fontId="7" fillId="0" borderId="1" xfId="17" applyNumberFormat="1" applyFont="1" applyFill="1" applyBorder="1" applyAlignment="1">
      <alignment horizontal="left" vertical="center" wrapText="1"/>
    </xf>
    <xf numFmtId="0" fontId="7" fillId="0" borderId="1" xfId="2" applyFont="1" applyFill="1" applyBorder="1" applyAlignment="1">
      <alignment horizontal="center" vertical="center" wrapText="1"/>
    </xf>
    <xf numFmtId="0" fontId="7" fillId="0" borderId="1" xfId="15" applyFont="1" applyFill="1" applyBorder="1" applyAlignment="1">
      <alignment horizontal="center" vertical="center" wrapText="1"/>
    </xf>
    <xf numFmtId="49" fontId="7" fillId="0" borderId="1" xfId="11" applyNumberFormat="1" applyFont="1" applyFill="1" applyBorder="1" applyAlignment="1">
      <alignment horizontal="center" vertical="center"/>
    </xf>
    <xf numFmtId="0" fontId="7" fillId="0" borderId="1" xfId="2" applyFont="1" applyFill="1" applyBorder="1" applyAlignment="1">
      <alignment horizontal="left" vertical="center" wrapText="1"/>
    </xf>
    <xf numFmtId="43" fontId="7" fillId="0" borderId="1" xfId="1" applyFont="1" applyFill="1" applyBorder="1" applyAlignment="1">
      <alignment horizontal="center" vertical="center" wrapText="1"/>
    </xf>
    <xf numFmtId="0" fontId="7" fillId="0" borderId="1" xfId="11" applyFont="1" applyFill="1" applyBorder="1" applyAlignment="1">
      <alignment horizontal="center" vertical="center"/>
    </xf>
    <xf numFmtId="170" fontId="7" fillId="0" borderId="1" xfId="26" quotePrefix="1" applyNumberFormat="1" applyFont="1" applyFill="1" applyBorder="1" applyAlignment="1" applyProtection="1">
      <alignment horizontal="left" vertical="center" wrapText="1"/>
    </xf>
    <xf numFmtId="3" fontId="7" fillId="0" borderId="1" xfId="2" applyNumberFormat="1" applyFont="1" applyFill="1" applyBorder="1" applyAlignment="1">
      <alignment horizontal="center" vertical="center"/>
    </xf>
    <xf numFmtId="2" fontId="7" fillId="0" borderId="1" xfId="3"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49" fontId="16" fillId="0" borderId="1" xfId="3"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4" fontId="16" fillId="0" borderId="1" xfId="4" applyNumberFormat="1" applyFont="1" applyFill="1" applyBorder="1" applyAlignment="1">
      <alignment horizontal="center" vertical="center" wrapText="1"/>
    </xf>
    <xf numFmtId="4" fontId="16" fillId="0" borderId="1" xfId="2" applyNumberFormat="1" applyFont="1" applyFill="1" applyBorder="1" applyAlignment="1">
      <alignment horizontal="center" vertical="center" wrapText="1"/>
    </xf>
    <xf numFmtId="0" fontId="7" fillId="0" borderId="1" xfId="10"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9" fontId="7" fillId="0" borderId="1" xfId="14"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1" xfId="10" applyFont="1" applyFill="1" applyBorder="1" applyAlignment="1">
      <alignment horizontal="left" vertical="center" wrapText="1"/>
    </xf>
    <xf numFmtId="43" fontId="7" fillId="0" borderId="1" xfId="12" applyFont="1" applyFill="1" applyBorder="1" applyAlignment="1">
      <alignment horizontal="center" vertical="center" wrapText="1"/>
    </xf>
    <xf numFmtId="49" fontId="7" fillId="0" borderId="1" xfId="2" applyNumberFormat="1" applyFont="1" applyFill="1" applyBorder="1" applyAlignment="1">
      <alignment horizontal="center" vertical="center"/>
    </xf>
    <xf numFmtId="43" fontId="7" fillId="0" borderId="1" xfId="12" applyFont="1" applyFill="1" applyBorder="1" applyAlignment="1">
      <alignment horizontal="center" vertical="center"/>
    </xf>
    <xf numFmtId="49" fontId="7" fillId="0" borderId="1" xfId="3" applyNumberFormat="1" applyFont="1" applyFill="1" applyBorder="1" applyAlignment="1">
      <alignment horizontal="center" vertical="center" wrapText="1"/>
    </xf>
    <xf numFmtId="1" fontId="7" fillId="0" borderId="1" xfId="29" applyNumberFormat="1" applyFont="1" applyFill="1" applyBorder="1" applyAlignment="1">
      <alignment horizontal="center" vertical="center"/>
    </xf>
    <xf numFmtId="0" fontId="7" fillId="0" borderId="1" xfId="11" applyFont="1" applyFill="1" applyBorder="1" applyAlignment="1">
      <alignment horizontal="center" vertical="center" wrapText="1"/>
    </xf>
    <xf numFmtId="0" fontId="18" fillId="0" borderId="1" xfId="11" applyFont="1" applyFill="1" applyBorder="1" applyAlignment="1">
      <alignment horizontal="center" vertical="center"/>
    </xf>
    <xf numFmtId="3" fontId="7" fillId="0" borderId="1" xfId="2" applyNumberFormat="1" applyFont="1" applyFill="1" applyBorder="1" applyAlignment="1">
      <alignment horizontal="center" vertical="center" wrapText="1"/>
    </xf>
    <xf numFmtId="1" fontId="7" fillId="0" borderId="1" xfId="29" applyNumberFormat="1" applyFont="1" applyFill="1" applyBorder="1" applyAlignment="1">
      <alignment horizontal="center" vertical="center" wrapText="1"/>
    </xf>
    <xf numFmtId="43" fontId="7" fillId="0" borderId="1" xfId="12" applyFont="1" applyFill="1" applyBorder="1" applyAlignment="1">
      <alignment vertical="center" wrapText="1"/>
    </xf>
    <xf numFmtId="4" fontId="7" fillId="0" borderId="1" xfId="11" applyNumberFormat="1" applyFont="1" applyFill="1" applyBorder="1" applyAlignment="1">
      <alignment horizontal="center" vertical="center" wrapText="1"/>
    </xf>
    <xf numFmtId="3" fontId="7" fillId="0" borderId="1" xfId="9" applyNumberFormat="1" applyFont="1" applyFill="1" applyBorder="1" applyAlignment="1">
      <alignment horizontal="center" vertical="center" wrapText="1"/>
    </xf>
    <xf numFmtId="2" fontId="7" fillId="0" borderId="1" xfId="31" applyNumberFormat="1" applyFont="1" applyFill="1" applyBorder="1" applyAlignment="1">
      <alignment horizontal="left" vertical="center" wrapText="1"/>
    </xf>
    <xf numFmtId="165" fontId="7" fillId="0" borderId="1" xfId="10" applyNumberFormat="1" applyFont="1" applyFill="1" applyBorder="1" applyAlignment="1">
      <alignment horizontal="left" vertical="center" wrapText="1"/>
    </xf>
    <xf numFmtId="0" fontId="7" fillId="0" borderId="0" xfId="2" applyFont="1" applyFill="1" applyAlignment="1">
      <alignment vertical="center"/>
    </xf>
    <xf numFmtId="43" fontId="7" fillId="0" borderId="0" xfId="12" applyFont="1" applyFill="1" applyBorder="1" applyAlignment="1">
      <alignment vertical="center"/>
    </xf>
    <xf numFmtId="0" fontId="16" fillId="0" borderId="0" xfId="2" applyFont="1" applyFill="1" applyAlignment="1">
      <alignment vertical="center"/>
    </xf>
    <xf numFmtId="0" fontId="18" fillId="0" borderId="0" xfId="2" applyFont="1" applyFill="1" applyAlignment="1">
      <alignment vertical="center"/>
    </xf>
    <xf numFmtId="0" fontId="7" fillId="0" borderId="0" xfId="2" applyFont="1" applyFill="1" applyAlignment="1">
      <alignment horizontal="center" vertical="center" wrapText="1"/>
    </xf>
    <xf numFmtId="43" fontId="16" fillId="0" borderId="0" xfId="12" applyFont="1" applyFill="1" applyBorder="1" applyAlignment="1">
      <alignment vertical="center"/>
    </xf>
    <xf numFmtId="0" fontId="7" fillId="0" borderId="0" xfId="2" applyFont="1" applyFill="1" applyAlignment="1">
      <alignment horizontal="center" vertical="center"/>
    </xf>
    <xf numFmtId="2" fontId="7" fillId="0" borderId="0" xfId="2" applyNumberFormat="1" applyFont="1" applyFill="1" applyAlignment="1">
      <alignment vertical="center"/>
    </xf>
    <xf numFmtId="0" fontId="21" fillId="0" borderId="0" xfId="2" applyFont="1" applyFill="1" applyAlignment="1">
      <alignment vertical="center"/>
    </xf>
    <xf numFmtId="43" fontId="7" fillId="0" borderId="0" xfId="12" applyFont="1" applyFill="1" applyBorder="1" applyAlignment="1">
      <alignment vertical="center" wrapText="1"/>
    </xf>
    <xf numFmtId="43" fontId="18" fillId="0" borderId="0" xfId="12" applyFont="1" applyFill="1" applyBorder="1" applyAlignment="1">
      <alignment vertical="center" wrapText="1"/>
    </xf>
    <xf numFmtId="0" fontId="7" fillId="3" borderId="1" xfId="11" applyFont="1" applyFill="1" applyBorder="1" applyAlignment="1">
      <alignment horizontal="center" vertical="center"/>
    </xf>
    <xf numFmtId="0" fontId="7" fillId="3" borderId="1" xfId="11" applyFont="1" applyFill="1" applyBorder="1" applyAlignment="1">
      <alignment horizontal="center" vertical="center" wrapText="1"/>
    </xf>
    <xf numFmtId="4" fontId="7" fillId="3" borderId="1" xfId="2" applyNumberFormat="1" applyFont="1" applyFill="1" applyBorder="1" applyAlignment="1">
      <alignment horizontal="right" vertical="center"/>
    </xf>
    <xf numFmtId="4" fontId="7" fillId="3" borderId="1" xfId="11" applyNumberFormat="1" applyFont="1" applyFill="1" applyBorder="1" applyAlignment="1">
      <alignment horizontal="right" vertical="center"/>
    </xf>
    <xf numFmtId="4" fontId="7" fillId="3" borderId="1" xfId="2" applyNumberFormat="1" applyFont="1" applyFill="1" applyBorder="1" applyAlignment="1">
      <alignment horizontal="right" vertical="center" wrapText="1"/>
    </xf>
    <xf numFmtId="2" fontId="7" fillId="3" borderId="1" xfId="3" applyNumberFormat="1"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11" applyFont="1" applyFill="1" applyBorder="1" applyAlignment="1">
      <alignment horizontal="center" vertical="center"/>
    </xf>
    <xf numFmtId="4" fontId="7" fillId="0" borderId="1" xfId="2" applyNumberFormat="1" applyFont="1" applyFill="1" applyBorder="1" applyAlignment="1">
      <alignment horizontal="center" vertical="center" wrapText="1"/>
    </xf>
    <xf numFmtId="0" fontId="7" fillId="0" borderId="1" xfId="11" applyFont="1" applyFill="1" applyBorder="1" applyAlignment="1">
      <alignment horizontal="center" vertical="center" wrapText="1"/>
    </xf>
    <xf numFmtId="2" fontId="7" fillId="0" borderId="1" xfId="3" applyNumberFormat="1" applyFont="1" applyFill="1" applyBorder="1" applyAlignment="1">
      <alignment horizontal="center" vertical="center" wrapText="1"/>
    </xf>
    <xf numFmtId="43" fontId="16" fillId="3" borderId="1" xfId="12" applyFont="1" applyFill="1" applyBorder="1" applyAlignment="1">
      <alignment horizontal="center" vertical="center" wrapText="1"/>
    </xf>
    <xf numFmtId="43" fontId="16" fillId="3" borderId="1" xfId="12" applyFont="1" applyFill="1" applyBorder="1" applyAlignment="1">
      <alignment horizontal="left" vertical="center" wrapText="1"/>
    </xf>
    <xf numFmtId="43" fontId="16" fillId="3" borderId="1" xfId="12" applyFont="1" applyFill="1" applyBorder="1" applyAlignment="1">
      <alignment horizontal="right" vertical="center"/>
    </xf>
    <xf numFmtId="43" fontId="16" fillId="3" borderId="1" xfId="12" applyFont="1" applyFill="1" applyBorder="1" applyAlignment="1">
      <alignment horizontal="center" vertical="center"/>
    </xf>
    <xf numFmtId="49" fontId="16" fillId="3" borderId="1" xfId="2" applyNumberFormat="1" applyFont="1" applyFill="1" applyBorder="1" applyAlignment="1">
      <alignment horizontal="center" vertical="center"/>
    </xf>
    <xf numFmtId="0" fontId="7" fillId="3" borderId="1" xfId="15" applyFont="1" applyFill="1" applyBorder="1" applyAlignment="1">
      <alignment horizontal="left" vertical="center" wrapText="1"/>
    </xf>
    <xf numFmtId="43" fontId="7" fillId="3" borderId="1" xfId="12" applyFont="1" applyFill="1" applyBorder="1" applyAlignment="1">
      <alignment horizontal="right" vertical="center"/>
    </xf>
    <xf numFmtId="43" fontId="7" fillId="3" borderId="1" xfId="12" applyFont="1" applyFill="1" applyBorder="1" applyAlignment="1">
      <alignment horizontal="right" vertical="center" wrapText="1"/>
    </xf>
    <xf numFmtId="43" fontId="7" fillId="3" borderId="1" xfId="12" applyFont="1" applyFill="1" applyBorder="1" applyAlignment="1">
      <alignment horizontal="center" vertical="center" wrapText="1"/>
    </xf>
    <xf numFmtId="43" fontId="7" fillId="3" borderId="1" xfId="12" applyFont="1" applyFill="1" applyBorder="1" applyAlignment="1">
      <alignment horizontal="center" vertical="center"/>
    </xf>
    <xf numFmtId="0" fontId="7" fillId="3" borderId="1" xfId="11" applyFont="1" applyFill="1" applyBorder="1" applyAlignment="1">
      <alignment horizontal="left" vertical="center" wrapText="1"/>
    </xf>
    <xf numFmtId="4" fontId="7" fillId="3" borderId="1" xfId="4" applyNumberFormat="1" applyFont="1" applyFill="1" applyBorder="1" applyAlignment="1">
      <alignment horizontal="center" vertical="center" wrapText="1"/>
    </xf>
    <xf numFmtId="43" fontId="7" fillId="3" borderId="1" xfId="1" applyFont="1" applyFill="1" applyBorder="1" applyAlignment="1">
      <alignment horizontal="center" vertical="center" wrapText="1"/>
    </xf>
    <xf numFmtId="0" fontId="7" fillId="3" borderId="1" xfId="10" applyFont="1" applyFill="1" applyBorder="1" applyAlignment="1">
      <alignment horizontal="left" vertical="center" wrapText="1"/>
    </xf>
    <xf numFmtId="0" fontId="18" fillId="3" borderId="1" xfId="11" applyFont="1" applyFill="1" applyBorder="1" applyAlignment="1">
      <alignment horizontal="left" vertical="center" wrapText="1"/>
    </xf>
    <xf numFmtId="0" fontId="18" fillId="3" borderId="1" xfId="11" applyFont="1" applyFill="1" applyBorder="1" applyAlignment="1">
      <alignment horizontal="center" vertical="center" wrapText="1"/>
    </xf>
    <xf numFmtId="43" fontId="18" fillId="3" borderId="1" xfId="12" applyFont="1" applyFill="1" applyBorder="1" applyAlignment="1">
      <alignment horizontal="right" vertical="center"/>
    </xf>
    <xf numFmtId="43" fontId="18" fillId="3" borderId="1" xfId="12" applyFont="1" applyFill="1" applyBorder="1" applyAlignment="1">
      <alignment horizontal="right" vertical="center" wrapText="1"/>
    </xf>
    <xf numFmtId="43" fontId="18" fillId="3" borderId="1" xfId="12" applyFont="1" applyFill="1" applyBorder="1" applyAlignment="1">
      <alignment horizontal="center" vertical="center" wrapText="1"/>
    </xf>
    <xf numFmtId="4" fontId="7" fillId="3" borderId="1" xfId="10" applyNumberFormat="1" applyFont="1" applyFill="1" applyBorder="1" applyAlignment="1">
      <alignment horizontal="right" vertical="center" wrapText="1"/>
    </xf>
    <xf numFmtId="43" fontId="18" fillId="3" borderId="1" xfId="1" applyFont="1" applyFill="1" applyBorder="1" applyAlignment="1">
      <alignment horizontal="right" vertical="center" wrapText="1"/>
    </xf>
    <xf numFmtId="43" fontId="18" fillId="3" borderId="1" xfId="1" applyFont="1" applyFill="1" applyBorder="1" applyAlignment="1">
      <alignment horizontal="center" vertical="center" wrapText="1"/>
    </xf>
    <xf numFmtId="165" fontId="7" fillId="3" borderId="1" xfId="17" applyNumberFormat="1" applyFont="1" applyFill="1" applyBorder="1" applyAlignment="1">
      <alignment horizontal="left" vertical="center" wrapText="1"/>
    </xf>
    <xf numFmtId="4" fontId="19" fillId="3" borderId="1" xfId="9" applyNumberFormat="1" applyFont="1" applyFill="1" applyBorder="1" applyAlignment="1">
      <alignment horizontal="center" vertical="center"/>
    </xf>
    <xf numFmtId="4" fontId="18" fillId="3" borderId="1" xfId="12" applyNumberFormat="1" applyFont="1" applyFill="1" applyBorder="1" applyAlignment="1">
      <alignment horizontal="right" vertical="center" wrapText="1"/>
    </xf>
    <xf numFmtId="0" fontId="16" fillId="3" borderId="1" xfId="11" applyFont="1" applyFill="1" applyBorder="1" applyAlignment="1">
      <alignment horizontal="center" vertical="center"/>
    </xf>
    <xf numFmtId="0" fontId="16" fillId="3" borderId="1" xfId="30" applyFont="1" applyFill="1" applyBorder="1" applyAlignment="1">
      <alignment horizontal="left" vertical="center" wrapText="1"/>
    </xf>
    <xf numFmtId="0" fontId="7" fillId="3" borderId="1" xfId="15" applyFont="1" applyFill="1" applyBorder="1" applyAlignment="1">
      <alignment horizontal="center" vertical="center" wrapText="1"/>
    </xf>
    <xf numFmtId="49" fontId="7" fillId="3" borderId="1" xfId="2" applyNumberFormat="1" applyFont="1" applyFill="1" applyBorder="1" applyAlignment="1">
      <alignment horizontal="center" vertical="center"/>
    </xf>
    <xf numFmtId="1" fontId="18" fillId="3" borderId="1" xfId="29" applyNumberFormat="1" applyFont="1" applyFill="1" applyBorder="1" applyAlignment="1">
      <alignment horizontal="center" vertical="center"/>
    </xf>
    <xf numFmtId="3" fontId="16" fillId="3" borderId="1" xfId="9" applyNumberFormat="1" applyFont="1" applyFill="1" applyBorder="1" applyAlignment="1">
      <alignment horizontal="center" vertical="center" wrapText="1"/>
    </xf>
    <xf numFmtId="0" fontId="16" fillId="3" borderId="1" xfId="11" applyFont="1" applyFill="1" applyBorder="1" applyAlignment="1">
      <alignment horizontal="center" vertical="center" wrapText="1"/>
    </xf>
    <xf numFmtId="43" fontId="16" fillId="3" borderId="1" xfId="12" applyFont="1" applyFill="1" applyBorder="1" applyAlignment="1">
      <alignment horizontal="right" vertical="center" wrapText="1"/>
    </xf>
    <xf numFmtId="43" fontId="7" fillId="3" borderId="1" xfId="12" applyFont="1" applyFill="1" applyBorder="1" applyAlignment="1">
      <alignment horizontal="left" vertical="center" wrapText="1"/>
    </xf>
    <xf numFmtId="3" fontId="7" fillId="3" borderId="1" xfId="11" applyNumberFormat="1" applyFont="1" applyFill="1" applyBorder="1" applyAlignment="1">
      <alignment horizontal="center" vertical="center"/>
    </xf>
    <xf numFmtId="165" fontId="7" fillId="3" borderId="1" xfId="17" applyNumberFormat="1" applyFont="1" applyFill="1" applyBorder="1" applyAlignment="1">
      <alignment vertical="center" wrapText="1"/>
    </xf>
    <xf numFmtId="43" fontId="7" fillId="3" borderId="1" xfId="1" applyFont="1" applyFill="1" applyBorder="1" applyAlignment="1">
      <alignment horizontal="right" vertical="center" wrapText="1"/>
    </xf>
    <xf numFmtId="0" fontId="7" fillId="3" borderId="1" xfId="10" quotePrefix="1" applyFont="1" applyFill="1" applyBorder="1" applyAlignment="1">
      <alignment horizontal="center" vertical="center" wrapText="1"/>
    </xf>
    <xf numFmtId="49" fontId="7" fillId="3" borderId="1" xfId="11" applyNumberFormat="1" applyFont="1" applyFill="1" applyBorder="1" applyAlignment="1">
      <alignment horizontal="center" vertical="center"/>
    </xf>
    <xf numFmtId="0" fontId="7" fillId="3" borderId="1" xfId="10"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1" xfId="2" applyFont="1" applyFill="1" applyBorder="1" applyAlignment="1">
      <alignment horizontal="center" vertical="center" wrapText="1"/>
    </xf>
    <xf numFmtId="43" fontId="7" fillId="3" borderId="1" xfId="12" applyFont="1" applyFill="1" applyBorder="1" applyAlignment="1">
      <alignment horizontal="center" vertical="center" wrapText="1"/>
    </xf>
    <xf numFmtId="0" fontId="7" fillId="3" borderId="1" xfId="11" applyFont="1" applyFill="1" applyBorder="1" applyAlignment="1">
      <alignment horizontal="center" vertical="center"/>
    </xf>
    <xf numFmtId="4" fontId="7" fillId="3" borderId="1" xfId="2" applyNumberFormat="1" applyFont="1" applyFill="1" applyBorder="1" applyAlignment="1">
      <alignment horizontal="center" vertical="center" wrapText="1"/>
    </xf>
    <xf numFmtId="0" fontId="7" fillId="3" borderId="1" xfId="11"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49" fontId="7" fillId="3" borderId="1" xfId="2" applyNumberFormat="1" applyFont="1" applyFill="1" applyBorder="1" applyAlignment="1">
      <alignment horizontal="center" vertical="center" wrapText="1"/>
    </xf>
    <xf numFmtId="0" fontId="7" fillId="3" borderId="1" xfId="10" quotePrefix="1" applyFont="1" applyFill="1" applyBorder="1" applyAlignment="1">
      <alignment horizontal="left" vertical="center" wrapText="1"/>
    </xf>
    <xf numFmtId="0" fontId="7" fillId="0" borderId="1" xfId="2" applyFont="1" applyFill="1" applyBorder="1" applyAlignment="1">
      <alignment horizontal="center" vertical="center" wrapText="1"/>
    </xf>
    <xf numFmtId="2" fontId="7" fillId="0" borderId="1" xfId="3"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43" fontId="7" fillId="3" borderId="1" xfId="12"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0" fontId="7" fillId="3" borderId="1" xfId="11" applyFont="1" applyFill="1" applyBorder="1" applyAlignment="1">
      <alignment horizontal="center" vertical="center" wrapText="1"/>
    </xf>
    <xf numFmtId="0" fontId="7" fillId="3" borderId="1" xfId="2" applyFont="1" applyFill="1" applyBorder="1" applyAlignment="1">
      <alignment horizontal="center" vertical="center" wrapText="1"/>
    </xf>
    <xf numFmtId="3" fontId="7" fillId="3" borderId="1" xfId="2" applyNumberFormat="1" applyFont="1" applyFill="1" applyBorder="1" applyAlignment="1">
      <alignment horizontal="center" vertical="center" wrapText="1"/>
    </xf>
    <xf numFmtId="0" fontId="7" fillId="3" borderId="0" xfId="2" applyFont="1" applyFill="1" applyAlignment="1">
      <alignment vertical="center"/>
    </xf>
    <xf numFmtId="0" fontId="7" fillId="3" borderId="1" xfId="2" applyFont="1" applyFill="1" applyBorder="1" applyAlignment="1">
      <alignment vertical="center"/>
    </xf>
    <xf numFmtId="0" fontId="7" fillId="3" borderId="1" xfId="2" applyFont="1" applyFill="1" applyBorder="1" applyAlignment="1">
      <alignment horizontal="center" vertical="center"/>
    </xf>
    <xf numFmtId="0" fontId="22" fillId="3" borderId="1" xfId="11" applyFont="1" applyFill="1" applyBorder="1" applyAlignment="1">
      <alignment horizontal="center" vertical="center" wrapText="1"/>
    </xf>
    <xf numFmtId="4" fontId="22" fillId="3" borderId="1" xfId="2" applyNumberFormat="1" applyFont="1" applyFill="1" applyBorder="1" applyAlignment="1">
      <alignment horizontal="right" vertical="center"/>
    </xf>
    <xf numFmtId="4" fontId="22" fillId="3" borderId="1" xfId="2" applyNumberFormat="1" applyFont="1" applyFill="1" applyBorder="1" applyAlignment="1">
      <alignment horizontal="right" vertical="center" wrapText="1"/>
    </xf>
    <xf numFmtId="43" fontId="22" fillId="3" borderId="1" xfId="12" applyFont="1" applyFill="1" applyBorder="1" applyAlignment="1">
      <alignment horizontal="center" vertical="center" wrapText="1"/>
    </xf>
    <xf numFmtId="4" fontId="22" fillId="3" borderId="1" xfId="2" applyNumberFormat="1" applyFont="1" applyFill="1" applyBorder="1" applyAlignment="1">
      <alignment horizontal="center" vertical="center" wrapText="1"/>
    </xf>
    <xf numFmtId="2" fontId="22" fillId="3" borderId="1" xfId="3" applyNumberFormat="1" applyFont="1" applyFill="1" applyBorder="1" applyAlignment="1">
      <alignment horizontal="center" vertical="center" wrapText="1"/>
    </xf>
    <xf numFmtId="2" fontId="22" fillId="3" borderId="1" xfId="3" quotePrefix="1" applyNumberFormat="1" applyFont="1" applyFill="1" applyBorder="1" applyAlignment="1">
      <alignment horizontal="center" vertical="center" wrapText="1"/>
    </xf>
    <xf numFmtId="49" fontId="22" fillId="3" borderId="1" xfId="2" applyNumberFormat="1" applyFont="1" applyFill="1" applyBorder="1" applyAlignment="1">
      <alignment horizontal="center" vertical="center" wrapText="1"/>
    </xf>
    <xf numFmtId="0" fontId="22" fillId="3" borderId="1" xfId="2" applyFont="1" applyFill="1" applyBorder="1" applyAlignment="1">
      <alignment horizontal="center" vertical="center" wrapText="1"/>
    </xf>
    <xf numFmtId="0" fontId="22" fillId="3" borderId="1" xfId="2" applyFont="1" applyFill="1" applyBorder="1" applyAlignment="1">
      <alignment vertical="center"/>
    </xf>
    <xf numFmtId="0" fontId="22" fillId="3" borderId="1" xfId="15" applyFont="1" applyFill="1" applyBorder="1" applyAlignment="1">
      <alignment horizontal="center" vertical="center" wrapText="1"/>
    </xf>
    <xf numFmtId="43" fontId="22" fillId="3" borderId="1" xfId="1" applyFont="1" applyFill="1" applyBorder="1" applyAlignment="1">
      <alignment horizontal="center" vertical="center" wrapText="1"/>
    </xf>
    <xf numFmtId="0" fontId="22" fillId="3" borderId="1" xfId="2" applyFont="1" applyFill="1" applyBorder="1" applyAlignment="1">
      <alignment horizontal="center" vertical="center"/>
    </xf>
    <xf numFmtId="4" fontId="23" fillId="3" borderId="1" xfId="2" applyNumberFormat="1" applyFont="1" applyFill="1" applyBorder="1" applyAlignment="1">
      <alignment horizontal="right" vertical="center"/>
    </xf>
    <xf numFmtId="3" fontId="22" fillId="0" borderId="1" xfId="9" applyNumberFormat="1" applyFont="1" applyFill="1" applyBorder="1" applyAlignment="1">
      <alignment horizontal="center" vertical="center" wrapText="1"/>
    </xf>
    <xf numFmtId="0" fontId="22" fillId="0" borderId="1" xfId="2" applyFont="1" applyFill="1" applyBorder="1" applyAlignment="1">
      <alignment vertical="center" wrapText="1"/>
    </xf>
    <xf numFmtId="2" fontId="22" fillId="0" borderId="1" xfId="3" applyNumberFormat="1" applyFont="1" applyFill="1" applyBorder="1" applyAlignment="1">
      <alignment horizontal="center" vertical="center" wrapText="1"/>
    </xf>
    <xf numFmtId="0" fontId="22" fillId="0" borderId="1" xfId="2" applyFont="1" applyFill="1" applyBorder="1" applyAlignment="1">
      <alignment horizontal="center" vertical="center" wrapText="1"/>
    </xf>
    <xf numFmtId="4" fontId="22" fillId="0" borderId="1" xfId="4" applyNumberFormat="1" applyFont="1" applyFill="1" applyBorder="1" applyAlignment="1">
      <alignment horizontal="right" vertical="center" wrapText="1"/>
    </xf>
    <xf numFmtId="0" fontId="22" fillId="0" borderId="1" xfId="15" applyFont="1" applyFill="1" applyBorder="1" applyAlignment="1">
      <alignment horizontal="center" vertical="center" wrapText="1"/>
    </xf>
    <xf numFmtId="2" fontId="22" fillId="0" borderId="1" xfId="3" applyNumberFormat="1" applyFont="1" applyFill="1" applyBorder="1" applyAlignment="1">
      <alignment horizontal="center" vertical="center"/>
    </xf>
    <xf numFmtId="2" fontId="22" fillId="0" borderId="1" xfId="10" applyNumberFormat="1" applyFont="1" applyFill="1" applyBorder="1" applyAlignment="1">
      <alignment horizontal="center" vertical="center" wrapText="1"/>
    </xf>
    <xf numFmtId="0" fontId="22" fillId="0" borderId="1" xfId="11" applyFont="1" applyFill="1" applyBorder="1" applyAlignment="1">
      <alignment horizontal="center" vertical="center" wrapText="1"/>
    </xf>
    <xf numFmtId="1" fontId="22" fillId="0" borderId="1" xfId="16" applyNumberFormat="1" applyFont="1" applyFill="1" applyBorder="1" applyAlignment="1">
      <alignment horizontal="center" vertical="center" wrapText="1"/>
    </xf>
    <xf numFmtId="43" fontId="7" fillId="3" borderId="1" xfId="12" applyFont="1" applyFill="1" applyBorder="1" applyAlignment="1">
      <alignment horizontal="center" vertical="center" wrapText="1"/>
    </xf>
    <xf numFmtId="0" fontId="7" fillId="3" borderId="1" xfId="11"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0" fontId="7" fillId="3" borderId="1" xfId="10" applyFont="1" applyFill="1" applyBorder="1" applyAlignment="1">
      <alignment horizontal="center" vertical="center" wrapText="1"/>
    </xf>
    <xf numFmtId="3" fontId="22" fillId="0" borderId="1" xfId="11" applyNumberFormat="1" applyFont="1" applyFill="1" applyBorder="1" applyAlignment="1">
      <alignment horizontal="center" vertical="center"/>
    </xf>
    <xf numFmtId="0" fontId="22" fillId="0" borderId="1" xfId="10" quotePrefix="1" applyFont="1" applyFill="1" applyBorder="1" applyAlignment="1">
      <alignment horizontal="left" vertical="center" wrapText="1"/>
    </xf>
    <xf numFmtId="4" fontId="22" fillId="0" borderId="1" xfId="2" applyNumberFormat="1" applyFont="1" applyFill="1" applyBorder="1" applyAlignment="1">
      <alignment horizontal="right" vertical="center"/>
    </xf>
    <xf numFmtId="43" fontId="22" fillId="0" borderId="1" xfId="12" applyFont="1" applyFill="1" applyBorder="1" applyAlignment="1">
      <alignment horizontal="center" vertical="center" wrapText="1"/>
    </xf>
    <xf numFmtId="43" fontId="22" fillId="0" borderId="1" xfId="12" applyFont="1" applyFill="1" applyBorder="1" applyAlignment="1">
      <alignment horizontal="right" vertical="center" wrapText="1"/>
    </xf>
    <xf numFmtId="4" fontId="22" fillId="0" borderId="1" xfId="4" applyNumberFormat="1" applyFont="1" applyFill="1" applyBorder="1" applyAlignment="1">
      <alignment horizontal="center" vertical="center" wrapText="1"/>
    </xf>
    <xf numFmtId="43" fontId="22" fillId="0" borderId="1" xfId="12" applyFont="1" applyFill="1" applyBorder="1" applyAlignment="1">
      <alignment vertical="center" wrapText="1"/>
    </xf>
    <xf numFmtId="4" fontId="22" fillId="0" borderId="1" xfId="2" applyNumberFormat="1" applyFont="1" applyFill="1" applyBorder="1" applyAlignment="1">
      <alignment horizontal="center" vertical="center" wrapText="1"/>
    </xf>
    <xf numFmtId="49" fontId="22" fillId="0" borderId="1" xfId="1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2" applyFont="1" applyFill="1" applyAlignment="1">
      <alignment vertical="center"/>
    </xf>
    <xf numFmtId="49" fontId="7" fillId="3" borderId="1" xfId="3" applyNumberFormat="1" applyFont="1" applyFill="1" applyBorder="1" applyAlignment="1">
      <alignment horizontal="center" vertical="center"/>
    </xf>
    <xf numFmtId="3" fontId="22" fillId="3" borderId="1" xfId="11" applyNumberFormat="1" applyFont="1" applyFill="1" applyBorder="1" applyAlignment="1">
      <alignment horizontal="center" vertical="center"/>
    </xf>
    <xf numFmtId="0" fontId="22" fillId="3" borderId="1" xfId="10" quotePrefix="1" applyFont="1" applyFill="1" applyBorder="1" applyAlignment="1">
      <alignment horizontal="left" vertical="center" wrapText="1"/>
    </xf>
    <xf numFmtId="169" fontId="24" fillId="3" borderId="1" xfId="12" applyNumberFormat="1" applyFont="1" applyFill="1" applyBorder="1" applyAlignment="1">
      <alignment horizontal="right" vertical="center" wrapText="1"/>
    </xf>
    <xf numFmtId="4" fontId="22" fillId="3" borderId="1" xfId="4" applyNumberFormat="1" applyFont="1" applyFill="1" applyBorder="1" applyAlignment="1">
      <alignment horizontal="center" vertical="center" wrapText="1"/>
    </xf>
    <xf numFmtId="43" fontId="22" fillId="3" borderId="1" xfId="12" applyFont="1" applyFill="1" applyBorder="1" applyAlignment="1">
      <alignment vertical="center" wrapText="1"/>
    </xf>
    <xf numFmtId="49" fontId="22" fillId="3" borderId="1" xfId="3"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0" xfId="2" applyFont="1" applyFill="1" applyAlignment="1">
      <alignment vertical="center"/>
    </xf>
    <xf numFmtId="0" fontId="22" fillId="3" borderId="1" xfId="2" applyNumberFormat="1" applyFont="1" applyFill="1" applyBorder="1" applyAlignment="1">
      <alignment horizontal="right" vertical="center"/>
    </xf>
    <xf numFmtId="2"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0" fontId="7" fillId="3" borderId="1" xfId="11" applyFont="1" applyFill="1" applyBorder="1" applyAlignment="1">
      <alignment horizontal="center" vertical="center" wrapText="1"/>
    </xf>
    <xf numFmtId="0" fontId="7" fillId="3" borderId="1" xfId="2" applyFont="1" applyFill="1" applyBorder="1" applyAlignment="1">
      <alignment horizontal="center" vertical="center" wrapText="1"/>
    </xf>
    <xf numFmtId="3" fontId="7" fillId="3" borderId="1" xfId="3" applyNumberFormat="1" applyFont="1" applyFill="1" applyBorder="1" applyAlignment="1">
      <alignment horizontal="center" vertical="center" wrapText="1"/>
    </xf>
    <xf numFmtId="4" fontId="7" fillId="3" borderId="1" xfId="20" applyNumberFormat="1" applyFont="1" applyFill="1" applyBorder="1" applyAlignment="1">
      <alignment horizontal="right" vertical="center"/>
    </xf>
    <xf numFmtId="4" fontId="7" fillId="3" borderId="1" xfId="9" applyNumberFormat="1" applyFont="1" applyFill="1" applyBorder="1" applyAlignment="1">
      <alignment horizontal="right" vertical="center" wrapText="1"/>
    </xf>
    <xf numFmtId="166" fontId="7" fillId="3" borderId="1" xfId="2" applyNumberFormat="1" applyFont="1" applyFill="1" applyBorder="1" applyAlignment="1">
      <alignment horizontal="right" vertical="center" wrapText="1"/>
    </xf>
    <xf numFmtId="166" fontId="7" fillId="3" borderId="1" xfId="9" applyNumberFormat="1" applyFont="1" applyFill="1" applyBorder="1" applyAlignment="1">
      <alignment horizontal="right" vertical="center" wrapText="1"/>
    </xf>
    <xf numFmtId="166" fontId="7" fillId="3" borderId="1" xfId="4" applyNumberFormat="1" applyFont="1" applyFill="1" applyBorder="1" applyAlignment="1">
      <alignment horizontal="center" vertical="center" wrapText="1"/>
    </xf>
    <xf numFmtId="166" fontId="7" fillId="3" borderId="1" xfId="20" applyNumberFormat="1" applyFont="1" applyFill="1" applyBorder="1" applyAlignment="1">
      <alignment horizontal="right" vertical="center"/>
    </xf>
    <xf numFmtId="0" fontId="7" fillId="3" borderId="1" xfId="15"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0" fontId="7" fillId="3" borderId="1" xfId="10" applyFont="1" applyFill="1" applyBorder="1" applyAlignment="1">
      <alignment horizontal="center" vertical="center" wrapText="1"/>
    </xf>
    <xf numFmtId="43" fontId="7" fillId="3" borderId="1" xfId="12" applyFont="1" applyFill="1" applyBorder="1" applyAlignment="1">
      <alignment horizontal="center" vertical="center" wrapText="1"/>
    </xf>
    <xf numFmtId="49" fontId="7" fillId="3" borderId="1" xfId="2" applyNumberFormat="1" applyFont="1" applyFill="1" applyBorder="1" applyAlignment="1">
      <alignment horizontal="center" vertical="center"/>
    </xf>
    <xf numFmtId="49" fontId="7" fillId="3" borderId="1" xfId="3" applyNumberFormat="1"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 xfId="15" quotePrefix="1" applyFont="1" applyFill="1" applyBorder="1" applyAlignment="1">
      <alignment horizontal="center" vertical="center" wrapText="1"/>
    </xf>
    <xf numFmtId="3" fontId="7" fillId="0" borderId="1" xfId="11" applyNumberFormat="1" applyFont="1" applyFill="1" applyBorder="1" applyAlignment="1">
      <alignment horizontal="center" vertical="center"/>
    </xf>
    <xf numFmtId="0" fontId="7" fillId="0" borderId="1" xfId="10" applyFont="1" applyFill="1" applyBorder="1" applyAlignment="1">
      <alignment horizontal="left" vertical="center" wrapText="1"/>
    </xf>
    <xf numFmtId="0" fontId="7" fillId="0" borderId="1" xfId="2" applyFont="1" applyFill="1" applyBorder="1" applyAlignment="1">
      <alignment horizontal="center" vertical="center" wrapText="1"/>
    </xf>
    <xf numFmtId="49" fontId="7" fillId="0" borderId="1" xfId="11" applyNumberFormat="1" applyFont="1" applyFill="1" applyBorder="1" applyAlignment="1">
      <alignment horizontal="center" vertical="center"/>
    </xf>
    <xf numFmtId="1" fontId="7" fillId="3" borderId="1" xfId="29" applyNumberFormat="1" applyFont="1" applyFill="1" applyBorder="1" applyAlignment="1">
      <alignment horizontal="center" vertical="center"/>
    </xf>
    <xf numFmtId="3" fontId="7" fillId="3" borderId="1" xfId="9" applyNumberFormat="1" applyFont="1" applyFill="1" applyBorder="1" applyAlignment="1">
      <alignment horizontal="center" vertical="center" wrapText="1"/>
    </xf>
    <xf numFmtId="0" fontId="7" fillId="3" borderId="1" xfId="15" applyFont="1" applyFill="1" applyBorder="1" applyAlignment="1">
      <alignment horizontal="center" vertical="center" wrapText="1"/>
    </xf>
    <xf numFmtId="49" fontId="7" fillId="3" borderId="1" xfId="2" applyNumberFormat="1" applyFont="1" applyFill="1" applyBorder="1" applyAlignment="1">
      <alignment horizontal="center" vertical="center"/>
    </xf>
    <xf numFmtId="0" fontId="7" fillId="3" borderId="1" xfId="2" applyFont="1" applyFill="1" applyBorder="1" applyAlignment="1">
      <alignment horizontal="center" vertical="center" wrapText="1"/>
    </xf>
    <xf numFmtId="3" fontId="7" fillId="3" borderId="1" xfId="11" applyNumberFormat="1" applyFont="1" applyFill="1" applyBorder="1" applyAlignment="1">
      <alignment horizontal="center" vertical="center" wrapText="1"/>
    </xf>
    <xf numFmtId="0" fontId="7" fillId="3" borderId="1" xfId="2" applyFont="1" applyFill="1" applyBorder="1" applyAlignment="1">
      <alignment horizontal="left" vertical="center" wrapText="1"/>
    </xf>
    <xf numFmtId="2" fontId="7" fillId="0" borderId="1" xfId="31" applyNumberFormat="1" applyFont="1" applyFill="1" applyBorder="1" applyAlignment="1">
      <alignment horizontal="left" vertical="center" wrapText="1"/>
    </xf>
    <xf numFmtId="3" fontId="7" fillId="0" borderId="1" xfId="9" applyNumberFormat="1" applyFont="1" applyFill="1" applyBorder="1" applyAlignment="1">
      <alignment horizontal="center" vertical="center" wrapText="1"/>
    </xf>
    <xf numFmtId="165" fontId="7" fillId="0" borderId="1" xfId="10" applyNumberFormat="1" applyFont="1" applyFill="1" applyBorder="1" applyAlignment="1">
      <alignment horizontal="left" vertical="center" wrapText="1"/>
    </xf>
    <xf numFmtId="1" fontId="7" fillId="3" borderId="1" xfId="29" applyNumberFormat="1" applyFont="1" applyFill="1" applyBorder="1" applyAlignment="1">
      <alignment horizontal="center" vertical="center" wrapText="1"/>
    </xf>
    <xf numFmtId="3" fontId="7" fillId="3" borderId="1" xfId="11" applyNumberFormat="1" applyFont="1" applyFill="1" applyBorder="1" applyAlignment="1">
      <alignment horizontal="center" vertical="center"/>
    </xf>
    <xf numFmtId="43" fontId="7" fillId="0" borderId="1" xfId="12" applyFont="1" applyFill="1" applyBorder="1" applyAlignment="1">
      <alignment vertical="center" wrapText="1"/>
    </xf>
    <xf numFmtId="43" fontId="7" fillId="3" borderId="1" xfId="12" applyFont="1" applyFill="1" applyBorder="1" applyAlignment="1">
      <alignment horizontal="center" vertical="center" wrapText="1"/>
    </xf>
    <xf numFmtId="0" fontId="7" fillId="3" borderId="1" xfId="11" applyFont="1" applyFill="1" applyBorder="1" applyAlignment="1">
      <alignment horizontal="center" vertical="center"/>
    </xf>
    <xf numFmtId="4" fontId="7" fillId="3" borderId="1" xfId="2"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 fontId="7" fillId="3" borderId="1" xfId="11" applyNumberFormat="1" applyFont="1" applyFill="1" applyBorder="1" applyAlignment="1">
      <alignment horizontal="center" vertical="center" wrapText="1"/>
    </xf>
    <xf numFmtId="0" fontId="7" fillId="3" borderId="1" xfId="11"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3" fontId="7" fillId="3" borderId="1" xfId="2" applyNumberFormat="1" applyFont="1" applyFill="1" applyBorder="1" applyAlignment="1">
      <alignment horizontal="center" vertical="center" wrapText="1"/>
    </xf>
    <xf numFmtId="49" fontId="7" fillId="3" borderId="1" xfId="2" applyNumberFormat="1" applyFont="1" applyFill="1" applyBorder="1" applyAlignment="1">
      <alignment horizontal="center" vertical="center" wrapText="1"/>
    </xf>
    <xf numFmtId="0" fontId="18" fillId="3" borderId="1" xfId="11" applyFont="1" applyFill="1" applyBorder="1" applyAlignment="1">
      <alignment horizontal="center" vertical="center"/>
    </xf>
    <xf numFmtId="43" fontId="7" fillId="3" borderId="1" xfId="12" applyFont="1" applyFill="1" applyBorder="1" applyAlignment="1">
      <alignment horizontal="center" vertical="center"/>
    </xf>
    <xf numFmtId="0" fontId="7" fillId="3" borderId="1" xfId="11" quotePrefix="1" applyFont="1" applyFill="1" applyBorder="1" applyAlignment="1">
      <alignment horizontal="center" vertical="center" wrapText="1"/>
    </xf>
    <xf numFmtId="0" fontId="7" fillId="3" borderId="1" xfId="10" applyFont="1" applyFill="1" applyBorder="1" applyAlignment="1">
      <alignment horizontal="center" vertical="center" wrapText="1"/>
    </xf>
    <xf numFmtId="2" fontId="7" fillId="0" borderId="1" xfId="3" applyNumberFormat="1" applyFont="1" applyFill="1" applyBorder="1" applyAlignment="1">
      <alignment horizontal="center" vertical="center" wrapText="1"/>
    </xf>
    <xf numFmtId="0" fontId="7" fillId="0" borderId="1" xfId="10" applyFont="1" applyFill="1" applyBorder="1" applyAlignment="1">
      <alignment horizontal="center" vertical="center" wrapText="1"/>
    </xf>
    <xf numFmtId="0" fontId="18" fillId="0" borderId="1" xfId="15" quotePrefix="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9" fontId="7" fillId="0" borderId="1" xfId="14"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1" xfId="11" applyFont="1" applyFill="1" applyBorder="1" applyAlignment="1">
      <alignment horizontal="left" vertical="center" wrapText="1"/>
    </xf>
    <xf numFmtId="0" fontId="7" fillId="0" borderId="1" xfId="11" applyFont="1" applyFill="1" applyBorder="1" applyAlignment="1">
      <alignment horizontal="center" vertical="center"/>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49" fontId="16" fillId="0" borderId="1" xfId="3" applyNumberFormat="1" applyFont="1" applyFill="1" applyBorder="1" applyAlignment="1">
      <alignment horizontal="center" vertical="center" wrapText="1"/>
    </xf>
    <xf numFmtId="49" fontId="17" fillId="0" borderId="1" xfId="3" applyNumberFormat="1" applyFont="1" applyFill="1" applyBorder="1" applyAlignment="1">
      <alignment horizontal="center" vertical="center" wrapText="1"/>
    </xf>
    <xf numFmtId="4" fontId="16" fillId="0" borderId="1" xfId="3" applyNumberFormat="1" applyFont="1" applyFill="1" applyBorder="1" applyAlignment="1">
      <alignment horizontal="center" vertical="center" wrapText="1"/>
    </xf>
    <xf numFmtId="4" fontId="16" fillId="0" borderId="1" xfId="4" applyNumberFormat="1" applyFont="1" applyFill="1" applyBorder="1" applyAlignment="1">
      <alignment horizontal="center" vertical="center" wrapText="1"/>
    </xf>
    <xf numFmtId="4" fontId="17" fillId="0" borderId="1" xfId="4" applyNumberFormat="1" applyFont="1" applyFill="1" applyBorder="1" applyAlignment="1">
      <alignment horizontal="center" vertical="center" wrapText="1"/>
    </xf>
    <xf numFmtId="4" fontId="16" fillId="0" borderId="1" xfId="2"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49" fontId="17" fillId="0" borderId="1" xfId="2" applyNumberFormat="1" applyFont="1" applyFill="1" applyBorder="1" applyAlignment="1">
      <alignment horizontal="center" vertical="center" wrapText="1"/>
    </xf>
    <xf numFmtId="0" fontId="7" fillId="0" borderId="1"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 xfId="10" applyFont="1" applyFill="1" applyBorder="1" applyAlignment="1">
      <alignment vertical="center" wrapText="1"/>
    </xf>
    <xf numFmtId="3" fontId="7" fillId="0" borderId="2" xfId="11" applyNumberFormat="1" applyFont="1" applyFill="1" applyBorder="1" applyAlignment="1">
      <alignment horizontal="center" vertical="center"/>
    </xf>
    <xf numFmtId="3" fontId="7" fillId="0" borderId="3" xfId="11" applyNumberFormat="1" applyFont="1" applyFill="1" applyBorder="1" applyAlignment="1">
      <alignment horizontal="center" vertical="center"/>
    </xf>
    <xf numFmtId="3" fontId="7" fillId="0" borderId="4" xfId="11" applyNumberFormat="1" applyFont="1" applyFill="1" applyBorder="1" applyAlignment="1">
      <alignment horizontal="center" vertical="center"/>
    </xf>
    <xf numFmtId="0" fontId="7" fillId="0" borderId="2" xfId="15" quotePrefix="1" applyFont="1" applyFill="1" applyBorder="1" applyAlignment="1">
      <alignment horizontal="center" vertical="center" wrapText="1"/>
    </xf>
    <xf numFmtId="0" fontId="7" fillId="0" borderId="3" xfId="15" quotePrefix="1" applyFont="1" applyFill="1" applyBorder="1" applyAlignment="1">
      <alignment horizontal="center" vertical="center" wrapText="1"/>
    </xf>
    <xf numFmtId="0" fontId="7" fillId="0" borderId="4" xfId="15" quotePrefix="1" applyFont="1" applyFill="1" applyBorder="1" applyAlignment="1">
      <alignment horizontal="center" vertical="center" wrapText="1"/>
    </xf>
    <xf numFmtId="165" fontId="7" fillId="0" borderId="1" xfId="17" applyNumberFormat="1" applyFont="1" applyFill="1" applyBorder="1" applyAlignment="1">
      <alignment horizontal="left" vertical="center" wrapText="1"/>
    </xf>
    <xf numFmtId="43" fontId="7" fillId="0" borderId="1" xfId="1" applyFont="1" applyFill="1" applyBorder="1" applyAlignment="1">
      <alignment horizontal="center" vertical="center" wrapText="1"/>
    </xf>
    <xf numFmtId="170" fontId="7" fillId="0" borderId="1" xfId="26" quotePrefix="1" applyNumberFormat="1" applyFont="1" applyFill="1" applyBorder="1" applyAlignment="1" applyProtection="1">
      <alignment horizontal="left" vertical="center" wrapText="1"/>
    </xf>
    <xf numFmtId="3" fontId="7" fillId="0" borderId="1" xfId="2" applyNumberFormat="1" applyFont="1" applyFill="1" applyBorder="1" applyAlignment="1">
      <alignment horizontal="center" vertical="center"/>
    </xf>
    <xf numFmtId="0" fontId="7" fillId="3" borderId="1" xfId="11" applyFont="1" applyFill="1" applyBorder="1" applyAlignment="1">
      <alignment horizontal="left" vertical="center" wrapText="1"/>
    </xf>
    <xf numFmtId="4" fontId="7" fillId="3" borderId="1" xfId="9" applyNumberFormat="1" applyFont="1" applyFill="1" applyBorder="1" applyAlignment="1">
      <alignment horizontal="center" vertical="center" wrapText="1"/>
    </xf>
    <xf numFmtId="4" fontId="7" fillId="3" borderId="1" xfId="2" applyNumberFormat="1" applyFont="1" applyFill="1" applyBorder="1" applyAlignment="1">
      <alignment vertical="center"/>
    </xf>
    <xf numFmtId="43" fontId="7" fillId="3" borderId="1" xfId="12" applyFont="1" applyFill="1" applyBorder="1" applyAlignment="1">
      <alignment vertical="center" wrapText="1"/>
    </xf>
    <xf numFmtId="2" fontId="7" fillId="3" borderId="1" xfId="3" applyNumberFormat="1" applyFont="1" applyFill="1" applyBorder="1" applyAlignment="1">
      <alignment horizontal="center" vertical="center"/>
    </xf>
    <xf numFmtId="165" fontId="7" fillId="3" borderId="1" xfId="10" applyNumberFormat="1" applyFont="1" applyFill="1" applyBorder="1" applyAlignment="1">
      <alignment horizontal="center" vertical="center" wrapText="1"/>
    </xf>
    <xf numFmtId="0" fontId="7" fillId="3" borderId="1" xfId="14" applyFont="1" applyFill="1" applyBorder="1" applyAlignment="1">
      <alignment horizontal="center" vertical="center"/>
    </xf>
    <xf numFmtId="4" fontId="7" fillId="3" borderId="1" xfId="2" applyNumberFormat="1" applyFont="1" applyFill="1" applyBorder="1" applyAlignment="1">
      <alignment horizontal="center" vertical="center"/>
    </xf>
  </cellXfs>
  <cellStyles count="32">
    <cellStyle name="Comma" xfId="1" builtinId="3"/>
    <cellStyle name="Comma 10 10 2 2" xfId="25" xr:uid="{00000000-0005-0000-0000-000001000000}"/>
    <cellStyle name="Comma 2 3 3" xfId="21" xr:uid="{00000000-0005-0000-0000-000002000000}"/>
    <cellStyle name="Comma 3" xfId="12" xr:uid="{00000000-0005-0000-0000-000003000000}"/>
    <cellStyle name="Comma 3 2 2 2" xfId="26" xr:uid="{00000000-0005-0000-0000-000004000000}"/>
    <cellStyle name="Comma 4 2" xfId="19" xr:uid="{00000000-0005-0000-0000-000005000000}"/>
    <cellStyle name="Comma 4 2 2" xfId="9" xr:uid="{00000000-0005-0000-0000-000006000000}"/>
    <cellStyle name="Normal" xfId="0" builtinId="0"/>
    <cellStyle name="Normal 14" xfId="14" xr:uid="{00000000-0005-0000-0000-000008000000}"/>
    <cellStyle name="Normal 14 13" xfId="2" xr:uid="{00000000-0005-0000-0000-000009000000}"/>
    <cellStyle name="Normal 19 2 2" xfId="13" xr:uid="{00000000-0005-0000-0000-00000A000000}"/>
    <cellStyle name="Normal 2 2" xfId="29" xr:uid="{00000000-0005-0000-0000-00000B000000}"/>
    <cellStyle name="Normal 2 2 10" xfId="17" xr:uid="{00000000-0005-0000-0000-00000C000000}"/>
    <cellStyle name="Normal 2 2 2" xfId="15" xr:uid="{00000000-0005-0000-0000-00000D000000}"/>
    <cellStyle name="Normal 2 2 2 13" xfId="22" xr:uid="{00000000-0005-0000-0000-00000E000000}"/>
    <cellStyle name="Normal 22 2" xfId="20" xr:uid="{00000000-0005-0000-0000-00000F000000}"/>
    <cellStyle name="Normal 22 2 2" xfId="11" xr:uid="{00000000-0005-0000-0000-000010000000}"/>
    <cellStyle name="Normal 3 2" xfId="6" xr:uid="{00000000-0005-0000-0000-000011000000}"/>
    <cellStyle name="Normal 36" xfId="28" xr:uid="{00000000-0005-0000-0000-000012000000}"/>
    <cellStyle name="Normal 6 26 2" xfId="24" xr:uid="{00000000-0005-0000-0000-000013000000}"/>
    <cellStyle name="Normal 9 2" xfId="10" xr:uid="{00000000-0005-0000-0000-000014000000}"/>
    <cellStyle name="Normal_01-THANH BA " xfId="27" xr:uid="{00000000-0005-0000-0000-000015000000}"/>
    <cellStyle name="Normal_Bieu mau (CV ) 2 2" xfId="16" xr:uid="{00000000-0005-0000-0000-000016000000}"/>
    <cellStyle name="Normal_Cong trinh dang thi cong da kiem tra-them cot-Uni" xfId="30" xr:uid="{00000000-0005-0000-0000-000017000000}"/>
    <cellStyle name="Normal_copy" xfId="3" xr:uid="{00000000-0005-0000-0000-000018000000}"/>
    <cellStyle name="Normal_D.o" xfId="4" xr:uid="{00000000-0005-0000-0000-000019000000}"/>
    <cellStyle name="Normal_hien trang 42 xa" xfId="7" xr:uid="{00000000-0005-0000-0000-00001A000000}"/>
    <cellStyle name="Normal_Phu bieu cc36" xfId="31" xr:uid="{00000000-0005-0000-0000-00001B000000}"/>
    <cellStyle name="Normal_QPAN" xfId="5" xr:uid="{00000000-0005-0000-0000-00001C000000}"/>
    <cellStyle name="Normal_Sheet1 2" xfId="18" xr:uid="{00000000-0005-0000-0000-00001D000000}"/>
    <cellStyle name="Normal_Sheet1_Sheet3" xfId="23" xr:uid="{00000000-0005-0000-0000-00001E000000}"/>
    <cellStyle name="Normal_UBND" xfId="8"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I548"/>
  <sheetViews>
    <sheetView tabSelected="1" zoomScale="95" zoomScaleNormal="95" zoomScaleSheetLayoutView="80" workbookViewId="0">
      <pane xSplit="7" ySplit="6" topLeftCell="BI16" activePane="bottomRight" state="frozen"/>
      <selection activeCell="A386" sqref="A386:XFD386"/>
      <selection pane="topRight" activeCell="A386" sqref="A386:XFD386"/>
      <selection pane="bottomLeft" activeCell="A386" sqref="A386:XFD386"/>
      <selection pane="bottomRight" activeCell="A21" sqref="A21"/>
    </sheetView>
  </sheetViews>
  <sheetFormatPr defaultColWidth="10.7109375" defaultRowHeight="15.75" x14ac:dyDescent="0.25"/>
  <cols>
    <col min="1" max="1" width="9" style="8" customWidth="1"/>
    <col min="2" max="2" width="35.7109375" style="10" customWidth="1"/>
    <col min="3" max="3" width="21.5703125" style="8" hidden="1" customWidth="1"/>
    <col min="4" max="4" width="7.42578125" style="7" customWidth="1"/>
    <col min="5" max="6" width="11.85546875" style="11" customWidth="1"/>
    <col min="7" max="7" width="12.85546875" style="11" customWidth="1"/>
    <col min="8" max="20" width="10.5703125" style="9" customWidth="1"/>
    <col min="21" max="21" width="10.5703125" style="173" customWidth="1"/>
    <col min="22" max="23" width="10.5703125" style="12" customWidth="1"/>
    <col min="24" max="59" width="10.5703125" style="9" customWidth="1"/>
    <col min="60" max="60" width="22.42578125" style="13" customWidth="1"/>
    <col min="61" max="61" width="21.5703125" style="8" customWidth="1"/>
    <col min="62" max="62" width="43.7109375" style="8" customWidth="1"/>
    <col min="63" max="63" width="20.28515625" style="15" customWidth="1"/>
    <col min="64" max="64" width="38.42578125" style="16" customWidth="1"/>
    <col min="65" max="65" width="18" style="7" customWidth="1"/>
    <col min="66" max="243" width="10.7109375" style="2"/>
    <col min="244" max="244" width="9" style="2" customWidth="1"/>
    <col min="245" max="245" width="39.7109375" style="2" customWidth="1"/>
    <col min="246" max="246" width="17.28515625" style="2" customWidth="1"/>
    <col min="247" max="247" width="0" style="2" hidden="1" customWidth="1"/>
    <col min="248" max="248" width="7.42578125" style="2" customWidth="1"/>
    <col min="249" max="251" width="10.28515625" style="2" customWidth="1"/>
    <col min="252" max="252" width="13.5703125" style="2" customWidth="1"/>
    <col min="253" max="254" width="8.5703125" style="2" customWidth="1"/>
    <col min="255" max="255" width="9.5703125" style="2" customWidth="1"/>
    <col min="256" max="258" width="8.5703125" style="2" customWidth="1"/>
    <col min="259" max="265" width="9.5703125" style="2" customWidth="1"/>
    <col min="266" max="266" width="11.85546875" style="2" customWidth="1"/>
    <col min="267" max="268" width="11.7109375" style="2" customWidth="1"/>
    <col min="269" max="269" width="9.5703125" style="2" customWidth="1"/>
    <col min="270" max="270" width="8" style="2" customWidth="1"/>
    <col min="271" max="271" width="9.5703125" style="2" customWidth="1"/>
    <col min="272" max="272" width="8" style="2" customWidth="1"/>
    <col min="273" max="273" width="9.5703125" style="2" customWidth="1"/>
    <col min="274" max="274" width="7.28515625" style="2" customWidth="1"/>
    <col min="275" max="275" width="7.7109375" style="2" customWidth="1"/>
    <col min="276" max="276" width="9.5703125" style="2" customWidth="1"/>
    <col min="277" max="277" width="8.5703125" style="2" customWidth="1"/>
    <col min="278" max="278" width="8" style="2" customWidth="1"/>
    <col min="279" max="279" width="9.5703125" style="2" customWidth="1"/>
    <col min="280" max="280" width="8" style="2" customWidth="1"/>
    <col min="281" max="281" width="8.28515625" style="2" customWidth="1"/>
    <col min="282" max="283" width="8" style="2" customWidth="1"/>
    <col min="284" max="284" width="7.28515625" style="2" customWidth="1"/>
    <col min="285" max="286" width="9.5703125" style="2" customWidth="1"/>
    <col min="287" max="287" width="8" style="2" customWidth="1"/>
    <col min="288" max="290" width="9.5703125" style="2" customWidth="1"/>
    <col min="291" max="291" width="7.7109375" style="2" customWidth="1"/>
    <col min="292" max="292" width="8.28515625" style="2" customWidth="1"/>
    <col min="293" max="293" width="7.7109375" style="2" customWidth="1"/>
    <col min="294" max="295" width="8" style="2" customWidth="1"/>
    <col min="296" max="299" width="9.5703125" style="2" customWidth="1"/>
    <col min="300" max="300" width="8" style="2" customWidth="1"/>
    <col min="301" max="301" width="8.5703125" style="2" customWidth="1"/>
    <col min="302" max="302" width="9.5703125" style="2" customWidth="1"/>
    <col min="303" max="303" width="7.28515625" style="2" customWidth="1"/>
    <col min="304" max="304" width="7.7109375" style="2" customWidth="1"/>
    <col min="305" max="305" width="22.42578125" style="2" customWidth="1"/>
    <col min="306" max="306" width="20.7109375" style="2" customWidth="1"/>
    <col min="307" max="307" width="33.5703125" style="2" customWidth="1"/>
    <col min="308" max="308" width="22.85546875" style="2" customWidth="1"/>
    <col min="309" max="309" width="0" style="2" hidden="1" customWidth="1"/>
    <col min="310" max="310" width="19.5703125" style="2" customWidth="1"/>
    <col min="311" max="312" width="0" style="2" hidden="1" customWidth="1"/>
    <col min="313" max="499" width="10.7109375" style="2"/>
    <col min="500" max="500" width="9" style="2" customWidth="1"/>
    <col min="501" max="501" width="39.7109375" style="2" customWidth="1"/>
    <col min="502" max="502" width="17.28515625" style="2" customWidth="1"/>
    <col min="503" max="503" width="0" style="2" hidden="1" customWidth="1"/>
    <col min="504" max="504" width="7.42578125" style="2" customWidth="1"/>
    <col min="505" max="507" width="10.28515625" style="2" customWidth="1"/>
    <col min="508" max="508" width="13.5703125" style="2" customWidth="1"/>
    <col min="509" max="510" width="8.5703125" style="2" customWidth="1"/>
    <col min="511" max="511" width="9.5703125" style="2" customWidth="1"/>
    <col min="512" max="514" width="8.5703125" style="2" customWidth="1"/>
    <col min="515" max="521" width="9.5703125" style="2" customWidth="1"/>
    <col min="522" max="522" width="11.85546875" style="2" customWidth="1"/>
    <col min="523" max="524" width="11.7109375" style="2" customWidth="1"/>
    <col min="525" max="525" width="9.5703125" style="2" customWidth="1"/>
    <col min="526" max="526" width="8" style="2" customWidth="1"/>
    <col min="527" max="527" width="9.5703125" style="2" customWidth="1"/>
    <col min="528" max="528" width="8" style="2" customWidth="1"/>
    <col min="529" max="529" width="9.5703125" style="2" customWidth="1"/>
    <col min="530" max="530" width="7.28515625" style="2" customWidth="1"/>
    <col min="531" max="531" width="7.7109375" style="2" customWidth="1"/>
    <col min="532" max="532" width="9.5703125" style="2" customWidth="1"/>
    <col min="533" max="533" width="8.5703125" style="2" customWidth="1"/>
    <col min="534" max="534" width="8" style="2" customWidth="1"/>
    <col min="535" max="535" width="9.5703125" style="2" customWidth="1"/>
    <col min="536" max="536" width="8" style="2" customWidth="1"/>
    <col min="537" max="537" width="8.28515625" style="2" customWidth="1"/>
    <col min="538" max="539" width="8" style="2" customWidth="1"/>
    <col min="540" max="540" width="7.28515625" style="2" customWidth="1"/>
    <col min="541" max="542" width="9.5703125" style="2" customWidth="1"/>
    <col min="543" max="543" width="8" style="2" customWidth="1"/>
    <col min="544" max="546" width="9.5703125" style="2" customWidth="1"/>
    <col min="547" max="547" width="7.7109375" style="2" customWidth="1"/>
    <col min="548" max="548" width="8.28515625" style="2" customWidth="1"/>
    <col min="549" max="549" width="7.7109375" style="2" customWidth="1"/>
    <col min="550" max="551" width="8" style="2" customWidth="1"/>
    <col min="552" max="555" width="9.5703125" style="2" customWidth="1"/>
    <col min="556" max="556" width="8" style="2" customWidth="1"/>
    <col min="557" max="557" width="8.5703125" style="2" customWidth="1"/>
    <col min="558" max="558" width="9.5703125" style="2" customWidth="1"/>
    <col min="559" max="559" width="7.28515625" style="2" customWidth="1"/>
    <col min="560" max="560" width="7.7109375" style="2" customWidth="1"/>
    <col min="561" max="561" width="22.42578125" style="2" customWidth="1"/>
    <col min="562" max="562" width="20.7109375" style="2" customWidth="1"/>
    <col min="563" max="563" width="33.5703125" style="2" customWidth="1"/>
    <col min="564" max="564" width="22.85546875" style="2" customWidth="1"/>
    <col min="565" max="565" width="0" style="2" hidden="1" customWidth="1"/>
    <col min="566" max="566" width="19.5703125" style="2" customWidth="1"/>
    <col min="567" max="568" width="0" style="2" hidden="1" customWidth="1"/>
    <col min="569" max="755" width="10.7109375" style="2"/>
    <col min="756" max="756" width="9" style="2" customWidth="1"/>
    <col min="757" max="757" width="39.7109375" style="2" customWidth="1"/>
    <col min="758" max="758" width="17.28515625" style="2" customWidth="1"/>
    <col min="759" max="759" width="0" style="2" hidden="1" customWidth="1"/>
    <col min="760" max="760" width="7.42578125" style="2" customWidth="1"/>
    <col min="761" max="763" width="10.28515625" style="2" customWidth="1"/>
    <col min="764" max="764" width="13.5703125" style="2" customWidth="1"/>
    <col min="765" max="766" width="8.5703125" style="2" customWidth="1"/>
    <col min="767" max="767" width="9.5703125" style="2" customWidth="1"/>
    <col min="768" max="770" width="8.5703125" style="2" customWidth="1"/>
    <col min="771" max="777" width="9.5703125" style="2" customWidth="1"/>
    <col min="778" max="778" width="11.85546875" style="2" customWidth="1"/>
    <col min="779" max="780" width="11.7109375" style="2" customWidth="1"/>
    <col min="781" max="781" width="9.5703125" style="2" customWidth="1"/>
    <col min="782" max="782" width="8" style="2" customWidth="1"/>
    <col min="783" max="783" width="9.5703125" style="2" customWidth="1"/>
    <col min="784" max="784" width="8" style="2" customWidth="1"/>
    <col min="785" max="785" width="9.5703125" style="2" customWidth="1"/>
    <col min="786" max="786" width="7.28515625" style="2" customWidth="1"/>
    <col min="787" max="787" width="7.7109375" style="2" customWidth="1"/>
    <col min="788" max="788" width="9.5703125" style="2" customWidth="1"/>
    <col min="789" max="789" width="8.5703125" style="2" customWidth="1"/>
    <col min="790" max="790" width="8" style="2" customWidth="1"/>
    <col min="791" max="791" width="9.5703125" style="2" customWidth="1"/>
    <col min="792" max="792" width="8" style="2" customWidth="1"/>
    <col min="793" max="793" width="8.28515625" style="2" customWidth="1"/>
    <col min="794" max="795" width="8" style="2" customWidth="1"/>
    <col min="796" max="796" width="7.28515625" style="2" customWidth="1"/>
    <col min="797" max="798" width="9.5703125" style="2" customWidth="1"/>
    <col min="799" max="799" width="8" style="2" customWidth="1"/>
    <col min="800" max="802" width="9.5703125" style="2" customWidth="1"/>
    <col min="803" max="803" width="7.7109375" style="2" customWidth="1"/>
    <col min="804" max="804" width="8.28515625" style="2" customWidth="1"/>
    <col min="805" max="805" width="7.7109375" style="2" customWidth="1"/>
    <col min="806" max="807" width="8" style="2" customWidth="1"/>
    <col min="808" max="811" width="9.5703125" style="2" customWidth="1"/>
    <col min="812" max="812" width="8" style="2" customWidth="1"/>
    <col min="813" max="813" width="8.5703125" style="2" customWidth="1"/>
    <col min="814" max="814" width="9.5703125" style="2" customWidth="1"/>
    <col min="815" max="815" width="7.28515625" style="2" customWidth="1"/>
    <col min="816" max="816" width="7.7109375" style="2" customWidth="1"/>
    <col min="817" max="817" width="22.42578125" style="2" customWidth="1"/>
    <col min="818" max="818" width="20.7109375" style="2" customWidth="1"/>
    <col min="819" max="819" width="33.5703125" style="2" customWidth="1"/>
    <col min="820" max="820" width="22.85546875" style="2" customWidth="1"/>
    <col min="821" max="821" width="0" style="2" hidden="1" customWidth="1"/>
    <col min="822" max="822" width="19.5703125" style="2" customWidth="1"/>
    <col min="823" max="824" width="0" style="2" hidden="1" customWidth="1"/>
    <col min="825" max="1011" width="10.7109375" style="2"/>
    <col min="1012" max="1012" width="9" style="2" customWidth="1"/>
    <col min="1013" max="1013" width="39.7109375" style="2" customWidth="1"/>
    <col min="1014" max="1014" width="17.28515625" style="2" customWidth="1"/>
    <col min="1015" max="1015" width="0" style="2" hidden="1" customWidth="1"/>
    <col min="1016" max="1016" width="7.42578125" style="2" customWidth="1"/>
    <col min="1017" max="1019" width="10.28515625" style="2" customWidth="1"/>
    <col min="1020" max="1020" width="13.5703125" style="2" customWidth="1"/>
    <col min="1021" max="1022" width="8.5703125" style="2" customWidth="1"/>
    <col min="1023" max="1023" width="9.5703125" style="2" customWidth="1"/>
    <col min="1024" max="1026" width="8.5703125" style="2" customWidth="1"/>
    <col min="1027" max="1033" width="9.5703125" style="2" customWidth="1"/>
    <col min="1034" max="1034" width="11.85546875" style="2" customWidth="1"/>
    <col min="1035" max="1036" width="11.7109375" style="2" customWidth="1"/>
    <col min="1037" max="1037" width="9.5703125" style="2" customWidth="1"/>
    <col min="1038" max="1038" width="8" style="2" customWidth="1"/>
    <col min="1039" max="1039" width="9.5703125" style="2" customWidth="1"/>
    <col min="1040" max="1040" width="8" style="2" customWidth="1"/>
    <col min="1041" max="1041" width="9.5703125" style="2" customWidth="1"/>
    <col min="1042" max="1042" width="7.28515625" style="2" customWidth="1"/>
    <col min="1043" max="1043" width="7.7109375" style="2" customWidth="1"/>
    <col min="1044" max="1044" width="9.5703125" style="2" customWidth="1"/>
    <col min="1045" max="1045" width="8.5703125" style="2" customWidth="1"/>
    <col min="1046" max="1046" width="8" style="2" customWidth="1"/>
    <col min="1047" max="1047" width="9.5703125" style="2" customWidth="1"/>
    <col min="1048" max="1048" width="8" style="2" customWidth="1"/>
    <col min="1049" max="1049" width="8.28515625" style="2" customWidth="1"/>
    <col min="1050" max="1051" width="8" style="2" customWidth="1"/>
    <col min="1052" max="1052" width="7.28515625" style="2" customWidth="1"/>
    <col min="1053" max="1054" width="9.5703125" style="2" customWidth="1"/>
    <col min="1055" max="1055" width="8" style="2" customWidth="1"/>
    <col min="1056" max="1058" width="9.5703125" style="2" customWidth="1"/>
    <col min="1059" max="1059" width="7.7109375" style="2" customWidth="1"/>
    <col min="1060" max="1060" width="8.28515625" style="2" customWidth="1"/>
    <col min="1061" max="1061" width="7.7109375" style="2" customWidth="1"/>
    <col min="1062" max="1063" width="8" style="2" customWidth="1"/>
    <col min="1064" max="1067" width="9.5703125" style="2" customWidth="1"/>
    <col min="1068" max="1068" width="8" style="2" customWidth="1"/>
    <col min="1069" max="1069" width="8.5703125" style="2" customWidth="1"/>
    <col min="1070" max="1070" width="9.5703125" style="2" customWidth="1"/>
    <col min="1071" max="1071" width="7.28515625" style="2" customWidth="1"/>
    <col min="1072" max="1072" width="7.7109375" style="2" customWidth="1"/>
    <col min="1073" max="1073" width="22.42578125" style="2" customWidth="1"/>
    <col min="1074" max="1074" width="20.7109375" style="2" customWidth="1"/>
    <col min="1075" max="1075" width="33.5703125" style="2" customWidth="1"/>
    <col min="1076" max="1076" width="22.85546875" style="2" customWidth="1"/>
    <col min="1077" max="1077" width="0" style="2" hidden="1" customWidth="1"/>
    <col min="1078" max="1078" width="19.5703125" style="2" customWidth="1"/>
    <col min="1079" max="1080" width="0" style="2" hidden="1" customWidth="1"/>
    <col min="1081" max="1267" width="10.7109375" style="2"/>
    <col min="1268" max="1268" width="9" style="2" customWidth="1"/>
    <col min="1269" max="1269" width="39.7109375" style="2" customWidth="1"/>
    <col min="1270" max="1270" width="17.28515625" style="2" customWidth="1"/>
    <col min="1271" max="1271" width="0" style="2" hidden="1" customWidth="1"/>
    <col min="1272" max="1272" width="7.42578125" style="2" customWidth="1"/>
    <col min="1273" max="1275" width="10.28515625" style="2" customWidth="1"/>
    <col min="1276" max="1276" width="13.5703125" style="2" customWidth="1"/>
    <col min="1277" max="1278" width="8.5703125" style="2" customWidth="1"/>
    <col min="1279" max="1279" width="9.5703125" style="2" customWidth="1"/>
    <col min="1280" max="1282" width="8.5703125" style="2" customWidth="1"/>
    <col min="1283" max="1289" width="9.5703125" style="2" customWidth="1"/>
    <col min="1290" max="1290" width="11.85546875" style="2" customWidth="1"/>
    <col min="1291" max="1292" width="11.7109375" style="2" customWidth="1"/>
    <col min="1293" max="1293" width="9.5703125" style="2" customWidth="1"/>
    <col min="1294" max="1294" width="8" style="2" customWidth="1"/>
    <col min="1295" max="1295" width="9.5703125" style="2" customWidth="1"/>
    <col min="1296" max="1296" width="8" style="2" customWidth="1"/>
    <col min="1297" max="1297" width="9.5703125" style="2" customWidth="1"/>
    <col min="1298" max="1298" width="7.28515625" style="2" customWidth="1"/>
    <col min="1299" max="1299" width="7.7109375" style="2" customWidth="1"/>
    <col min="1300" max="1300" width="9.5703125" style="2" customWidth="1"/>
    <col min="1301" max="1301" width="8.5703125" style="2" customWidth="1"/>
    <col min="1302" max="1302" width="8" style="2" customWidth="1"/>
    <col min="1303" max="1303" width="9.5703125" style="2" customWidth="1"/>
    <col min="1304" max="1304" width="8" style="2" customWidth="1"/>
    <col min="1305" max="1305" width="8.28515625" style="2" customWidth="1"/>
    <col min="1306" max="1307" width="8" style="2" customWidth="1"/>
    <col min="1308" max="1308" width="7.28515625" style="2" customWidth="1"/>
    <col min="1309" max="1310" width="9.5703125" style="2" customWidth="1"/>
    <col min="1311" max="1311" width="8" style="2" customWidth="1"/>
    <col min="1312" max="1314" width="9.5703125" style="2" customWidth="1"/>
    <col min="1315" max="1315" width="7.7109375" style="2" customWidth="1"/>
    <col min="1316" max="1316" width="8.28515625" style="2" customWidth="1"/>
    <col min="1317" max="1317" width="7.7109375" style="2" customWidth="1"/>
    <col min="1318" max="1319" width="8" style="2" customWidth="1"/>
    <col min="1320" max="1323" width="9.5703125" style="2" customWidth="1"/>
    <col min="1324" max="1324" width="8" style="2" customWidth="1"/>
    <col min="1325" max="1325" width="8.5703125" style="2" customWidth="1"/>
    <col min="1326" max="1326" width="9.5703125" style="2" customWidth="1"/>
    <col min="1327" max="1327" width="7.28515625" style="2" customWidth="1"/>
    <col min="1328" max="1328" width="7.7109375" style="2" customWidth="1"/>
    <col min="1329" max="1329" width="22.42578125" style="2" customWidth="1"/>
    <col min="1330" max="1330" width="20.7109375" style="2" customWidth="1"/>
    <col min="1331" max="1331" width="33.5703125" style="2" customWidth="1"/>
    <col min="1332" max="1332" width="22.85546875" style="2" customWidth="1"/>
    <col min="1333" max="1333" width="0" style="2" hidden="1" customWidth="1"/>
    <col min="1334" max="1334" width="19.5703125" style="2" customWidth="1"/>
    <col min="1335" max="1336" width="0" style="2" hidden="1" customWidth="1"/>
    <col min="1337" max="1523" width="10.7109375" style="2"/>
    <col min="1524" max="1524" width="9" style="2" customWidth="1"/>
    <col min="1525" max="1525" width="39.7109375" style="2" customWidth="1"/>
    <col min="1526" max="1526" width="17.28515625" style="2" customWidth="1"/>
    <col min="1527" max="1527" width="0" style="2" hidden="1" customWidth="1"/>
    <col min="1528" max="1528" width="7.42578125" style="2" customWidth="1"/>
    <col min="1529" max="1531" width="10.28515625" style="2" customWidth="1"/>
    <col min="1532" max="1532" width="13.5703125" style="2" customWidth="1"/>
    <col min="1533" max="1534" width="8.5703125" style="2" customWidth="1"/>
    <col min="1535" max="1535" width="9.5703125" style="2" customWidth="1"/>
    <col min="1536" max="1538" width="8.5703125" style="2" customWidth="1"/>
    <col min="1539" max="1545" width="9.5703125" style="2" customWidth="1"/>
    <col min="1546" max="1546" width="11.85546875" style="2" customWidth="1"/>
    <col min="1547" max="1548" width="11.7109375" style="2" customWidth="1"/>
    <col min="1549" max="1549" width="9.5703125" style="2" customWidth="1"/>
    <col min="1550" max="1550" width="8" style="2" customWidth="1"/>
    <col min="1551" max="1551" width="9.5703125" style="2" customWidth="1"/>
    <col min="1552" max="1552" width="8" style="2" customWidth="1"/>
    <col min="1553" max="1553" width="9.5703125" style="2" customWidth="1"/>
    <col min="1554" max="1554" width="7.28515625" style="2" customWidth="1"/>
    <col min="1555" max="1555" width="7.7109375" style="2" customWidth="1"/>
    <col min="1556" max="1556" width="9.5703125" style="2" customWidth="1"/>
    <col min="1557" max="1557" width="8.5703125" style="2" customWidth="1"/>
    <col min="1558" max="1558" width="8" style="2" customWidth="1"/>
    <col min="1559" max="1559" width="9.5703125" style="2" customWidth="1"/>
    <col min="1560" max="1560" width="8" style="2" customWidth="1"/>
    <col min="1561" max="1561" width="8.28515625" style="2" customWidth="1"/>
    <col min="1562" max="1563" width="8" style="2" customWidth="1"/>
    <col min="1564" max="1564" width="7.28515625" style="2" customWidth="1"/>
    <col min="1565" max="1566" width="9.5703125" style="2" customWidth="1"/>
    <col min="1567" max="1567" width="8" style="2" customWidth="1"/>
    <col min="1568" max="1570" width="9.5703125" style="2" customWidth="1"/>
    <col min="1571" max="1571" width="7.7109375" style="2" customWidth="1"/>
    <col min="1572" max="1572" width="8.28515625" style="2" customWidth="1"/>
    <col min="1573" max="1573" width="7.7109375" style="2" customWidth="1"/>
    <col min="1574" max="1575" width="8" style="2" customWidth="1"/>
    <col min="1576" max="1579" width="9.5703125" style="2" customWidth="1"/>
    <col min="1580" max="1580" width="8" style="2" customWidth="1"/>
    <col min="1581" max="1581" width="8.5703125" style="2" customWidth="1"/>
    <col min="1582" max="1582" width="9.5703125" style="2" customWidth="1"/>
    <col min="1583" max="1583" width="7.28515625" style="2" customWidth="1"/>
    <col min="1584" max="1584" width="7.7109375" style="2" customWidth="1"/>
    <col min="1585" max="1585" width="22.42578125" style="2" customWidth="1"/>
    <col min="1586" max="1586" width="20.7109375" style="2" customWidth="1"/>
    <col min="1587" max="1587" width="33.5703125" style="2" customWidth="1"/>
    <col min="1588" max="1588" width="22.85546875" style="2" customWidth="1"/>
    <col min="1589" max="1589" width="0" style="2" hidden="1" customWidth="1"/>
    <col min="1590" max="1590" width="19.5703125" style="2" customWidth="1"/>
    <col min="1591" max="1592" width="0" style="2" hidden="1" customWidth="1"/>
    <col min="1593" max="1779" width="10.7109375" style="2"/>
    <col min="1780" max="1780" width="9" style="2" customWidth="1"/>
    <col min="1781" max="1781" width="39.7109375" style="2" customWidth="1"/>
    <col min="1782" max="1782" width="17.28515625" style="2" customWidth="1"/>
    <col min="1783" max="1783" width="0" style="2" hidden="1" customWidth="1"/>
    <col min="1784" max="1784" width="7.42578125" style="2" customWidth="1"/>
    <col min="1785" max="1787" width="10.28515625" style="2" customWidth="1"/>
    <col min="1788" max="1788" width="13.5703125" style="2" customWidth="1"/>
    <col min="1789" max="1790" width="8.5703125" style="2" customWidth="1"/>
    <col min="1791" max="1791" width="9.5703125" style="2" customWidth="1"/>
    <col min="1792" max="1794" width="8.5703125" style="2" customWidth="1"/>
    <col min="1795" max="1801" width="9.5703125" style="2" customWidth="1"/>
    <col min="1802" max="1802" width="11.85546875" style="2" customWidth="1"/>
    <col min="1803" max="1804" width="11.7109375" style="2" customWidth="1"/>
    <col min="1805" max="1805" width="9.5703125" style="2" customWidth="1"/>
    <col min="1806" max="1806" width="8" style="2" customWidth="1"/>
    <col min="1807" max="1807" width="9.5703125" style="2" customWidth="1"/>
    <col min="1808" max="1808" width="8" style="2" customWidth="1"/>
    <col min="1809" max="1809" width="9.5703125" style="2" customWidth="1"/>
    <col min="1810" max="1810" width="7.28515625" style="2" customWidth="1"/>
    <col min="1811" max="1811" width="7.7109375" style="2" customWidth="1"/>
    <col min="1812" max="1812" width="9.5703125" style="2" customWidth="1"/>
    <col min="1813" max="1813" width="8.5703125" style="2" customWidth="1"/>
    <col min="1814" max="1814" width="8" style="2" customWidth="1"/>
    <col min="1815" max="1815" width="9.5703125" style="2" customWidth="1"/>
    <col min="1816" max="1816" width="8" style="2" customWidth="1"/>
    <col min="1817" max="1817" width="8.28515625" style="2" customWidth="1"/>
    <col min="1818" max="1819" width="8" style="2" customWidth="1"/>
    <col min="1820" max="1820" width="7.28515625" style="2" customWidth="1"/>
    <col min="1821" max="1822" width="9.5703125" style="2" customWidth="1"/>
    <col min="1823" max="1823" width="8" style="2" customWidth="1"/>
    <col min="1824" max="1826" width="9.5703125" style="2" customWidth="1"/>
    <col min="1827" max="1827" width="7.7109375" style="2" customWidth="1"/>
    <col min="1828" max="1828" width="8.28515625" style="2" customWidth="1"/>
    <col min="1829" max="1829" width="7.7109375" style="2" customWidth="1"/>
    <col min="1830" max="1831" width="8" style="2" customWidth="1"/>
    <col min="1832" max="1835" width="9.5703125" style="2" customWidth="1"/>
    <col min="1836" max="1836" width="8" style="2" customWidth="1"/>
    <col min="1837" max="1837" width="8.5703125" style="2" customWidth="1"/>
    <col min="1838" max="1838" width="9.5703125" style="2" customWidth="1"/>
    <col min="1839" max="1839" width="7.28515625" style="2" customWidth="1"/>
    <col min="1840" max="1840" width="7.7109375" style="2" customWidth="1"/>
    <col min="1841" max="1841" width="22.42578125" style="2" customWidth="1"/>
    <col min="1842" max="1842" width="20.7109375" style="2" customWidth="1"/>
    <col min="1843" max="1843" width="33.5703125" style="2" customWidth="1"/>
    <col min="1844" max="1844" width="22.85546875" style="2" customWidth="1"/>
    <col min="1845" max="1845" width="0" style="2" hidden="1" customWidth="1"/>
    <col min="1846" max="1846" width="19.5703125" style="2" customWidth="1"/>
    <col min="1847" max="1848" width="0" style="2" hidden="1" customWidth="1"/>
    <col min="1849" max="2035" width="10.7109375" style="2"/>
    <col min="2036" max="2036" width="9" style="2" customWidth="1"/>
    <col min="2037" max="2037" width="39.7109375" style="2" customWidth="1"/>
    <col min="2038" max="2038" width="17.28515625" style="2" customWidth="1"/>
    <col min="2039" max="2039" width="0" style="2" hidden="1" customWidth="1"/>
    <col min="2040" max="2040" width="7.42578125" style="2" customWidth="1"/>
    <col min="2041" max="2043" width="10.28515625" style="2" customWidth="1"/>
    <col min="2044" max="2044" width="13.5703125" style="2" customWidth="1"/>
    <col min="2045" max="2046" width="8.5703125" style="2" customWidth="1"/>
    <col min="2047" max="2047" width="9.5703125" style="2" customWidth="1"/>
    <col min="2048" max="2050" width="8.5703125" style="2" customWidth="1"/>
    <col min="2051" max="2057" width="9.5703125" style="2" customWidth="1"/>
    <col min="2058" max="2058" width="11.85546875" style="2" customWidth="1"/>
    <col min="2059" max="2060" width="11.7109375" style="2" customWidth="1"/>
    <col min="2061" max="2061" width="9.5703125" style="2" customWidth="1"/>
    <col min="2062" max="2062" width="8" style="2" customWidth="1"/>
    <col min="2063" max="2063" width="9.5703125" style="2" customWidth="1"/>
    <col min="2064" max="2064" width="8" style="2" customWidth="1"/>
    <col min="2065" max="2065" width="9.5703125" style="2" customWidth="1"/>
    <col min="2066" max="2066" width="7.28515625" style="2" customWidth="1"/>
    <col min="2067" max="2067" width="7.7109375" style="2" customWidth="1"/>
    <col min="2068" max="2068" width="9.5703125" style="2" customWidth="1"/>
    <col min="2069" max="2069" width="8.5703125" style="2" customWidth="1"/>
    <col min="2070" max="2070" width="8" style="2" customWidth="1"/>
    <col min="2071" max="2071" width="9.5703125" style="2" customWidth="1"/>
    <col min="2072" max="2072" width="8" style="2" customWidth="1"/>
    <col min="2073" max="2073" width="8.28515625" style="2" customWidth="1"/>
    <col min="2074" max="2075" width="8" style="2" customWidth="1"/>
    <col min="2076" max="2076" width="7.28515625" style="2" customWidth="1"/>
    <col min="2077" max="2078" width="9.5703125" style="2" customWidth="1"/>
    <col min="2079" max="2079" width="8" style="2" customWidth="1"/>
    <col min="2080" max="2082" width="9.5703125" style="2" customWidth="1"/>
    <col min="2083" max="2083" width="7.7109375" style="2" customWidth="1"/>
    <col min="2084" max="2084" width="8.28515625" style="2" customWidth="1"/>
    <col min="2085" max="2085" width="7.7109375" style="2" customWidth="1"/>
    <col min="2086" max="2087" width="8" style="2" customWidth="1"/>
    <col min="2088" max="2091" width="9.5703125" style="2" customWidth="1"/>
    <col min="2092" max="2092" width="8" style="2" customWidth="1"/>
    <col min="2093" max="2093" width="8.5703125" style="2" customWidth="1"/>
    <col min="2094" max="2094" width="9.5703125" style="2" customWidth="1"/>
    <col min="2095" max="2095" width="7.28515625" style="2" customWidth="1"/>
    <col min="2096" max="2096" width="7.7109375" style="2" customWidth="1"/>
    <col min="2097" max="2097" width="22.42578125" style="2" customWidth="1"/>
    <col min="2098" max="2098" width="20.7109375" style="2" customWidth="1"/>
    <col min="2099" max="2099" width="33.5703125" style="2" customWidth="1"/>
    <col min="2100" max="2100" width="22.85546875" style="2" customWidth="1"/>
    <col min="2101" max="2101" width="0" style="2" hidden="1" customWidth="1"/>
    <col min="2102" max="2102" width="19.5703125" style="2" customWidth="1"/>
    <col min="2103" max="2104" width="0" style="2" hidden="1" customWidth="1"/>
    <col min="2105" max="2291" width="10.7109375" style="2"/>
    <col min="2292" max="2292" width="9" style="2" customWidth="1"/>
    <col min="2293" max="2293" width="39.7109375" style="2" customWidth="1"/>
    <col min="2294" max="2294" width="17.28515625" style="2" customWidth="1"/>
    <col min="2295" max="2295" width="0" style="2" hidden="1" customWidth="1"/>
    <col min="2296" max="2296" width="7.42578125" style="2" customWidth="1"/>
    <col min="2297" max="2299" width="10.28515625" style="2" customWidth="1"/>
    <col min="2300" max="2300" width="13.5703125" style="2" customWidth="1"/>
    <col min="2301" max="2302" width="8.5703125" style="2" customWidth="1"/>
    <col min="2303" max="2303" width="9.5703125" style="2" customWidth="1"/>
    <col min="2304" max="2306" width="8.5703125" style="2" customWidth="1"/>
    <col min="2307" max="2313" width="9.5703125" style="2" customWidth="1"/>
    <col min="2314" max="2314" width="11.85546875" style="2" customWidth="1"/>
    <col min="2315" max="2316" width="11.7109375" style="2" customWidth="1"/>
    <col min="2317" max="2317" width="9.5703125" style="2" customWidth="1"/>
    <col min="2318" max="2318" width="8" style="2" customWidth="1"/>
    <col min="2319" max="2319" width="9.5703125" style="2" customWidth="1"/>
    <col min="2320" max="2320" width="8" style="2" customWidth="1"/>
    <col min="2321" max="2321" width="9.5703125" style="2" customWidth="1"/>
    <col min="2322" max="2322" width="7.28515625" style="2" customWidth="1"/>
    <col min="2323" max="2323" width="7.7109375" style="2" customWidth="1"/>
    <col min="2324" max="2324" width="9.5703125" style="2" customWidth="1"/>
    <col min="2325" max="2325" width="8.5703125" style="2" customWidth="1"/>
    <col min="2326" max="2326" width="8" style="2" customWidth="1"/>
    <col min="2327" max="2327" width="9.5703125" style="2" customWidth="1"/>
    <col min="2328" max="2328" width="8" style="2" customWidth="1"/>
    <col min="2329" max="2329" width="8.28515625" style="2" customWidth="1"/>
    <col min="2330" max="2331" width="8" style="2" customWidth="1"/>
    <col min="2332" max="2332" width="7.28515625" style="2" customWidth="1"/>
    <col min="2333" max="2334" width="9.5703125" style="2" customWidth="1"/>
    <col min="2335" max="2335" width="8" style="2" customWidth="1"/>
    <col min="2336" max="2338" width="9.5703125" style="2" customWidth="1"/>
    <col min="2339" max="2339" width="7.7109375" style="2" customWidth="1"/>
    <col min="2340" max="2340" width="8.28515625" style="2" customWidth="1"/>
    <col min="2341" max="2341" width="7.7109375" style="2" customWidth="1"/>
    <col min="2342" max="2343" width="8" style="2" customWidth="1"/>
    <col min="2344" max="2347" width="9.5703125" style="2" customWidth="1"/>
    <col min="2348" max="2348" width="8" style="2" customWidth="1"/>
    <col min="2349" max="2349" width="8.5703125" style="2" customWidth="1"/>
    <col min="2350" max="2350" width="9.5703125" style="2" customWidth="1"/>
    <col min="2351" max="2351" width="7.28515625" style="2" customWidth="1"/>
    <col min="2352" max="2352" width="7.7109375" style="2" customWidth="1"/>
    <col min="2353" max="2353" width="22.42578125" style="2" customWidth="1"/>
    <col min="2354" max="2354" width="20.7109375" style="2" customWidth="1"/>
    <col min="2355" max="2355" width="33.5703125" style="2" customWidth="1"/>
    <col min="2356" max="2356" width="22.85546875" style="2" customWidth="1"/>
    <col min="2357" max="2357" width="0" style="2" hidden="1" customWidth="1"/>
    <col min="2358" max="2358" width="19.5703125" style="2" customWidth="1"/>
    <col min="2359" max="2360" width="0" style="2" hidden="1" customWidth="1"/>
    <col min="2361" max="2547" width="10.7109375" style="2"/>
    <col min="2548" max="2548" width="9" style="2" customWidth="1"/>
    <col min="2549" max="2549" width="39.7109375" style="2" customWidth="1"/>
    <col min="2550" max="2550" width="17.28515625" style="2" customWidth="1"/>
    <col min="2551" max="2551" width="0" style="2" hidden="1" customWidth="1"/>
    <col min="2552" max="2552" width="7.42578125" style="2" customWidth="1"/>
    <col min="2553" max="2555" width="10.28515625" style="2" customWidth="1"/>
    <col min="2556" max="2556" width="13.5703125" style="2" customWidth="1"/>
    <col min="2557" max="2558" width="8.5703125" style="2" customWidth="1"/>
    <col min="2559" max="2559" width="9.5703125" style="2" customWidth="1"/>
    <col min="2560" max="2562" width="8.5703125" style="2" customWidth="1"/>
    <col min="2563" max="2569" width="9.5703125" style="2" customWidth="1"/>
    <col min="2570" max="2570" width="11.85546875" style="2" customWidth="1"/>
    <col min="2571" max="2572" width="11.7109375" style="2" customWidth="1"/>
    <col min="2573" max="2573" width="9.5703125" style="2" customWidth="1"/>
    <col min="2574" max="2574" width="8" style="2" customWidth="1"/>
    <col min="2575" max="2575" width="9.5703125" style="2" customWidth="1"/>
    <col min="2576" max="2576" width="8" style="2" customWidth="1"/>
    <col min="2577" max="2577" width="9.5703125" style="2" customWidth="1"/>
    <col min="2578" max="2578" width="7.28515625" style="2" customWidth="1"/>
    <col min="2579" max="2579" width="7.7109375" style="2" customWidth="1"/>
    <col min="2580" max="2580" width="9.5703125" style="2" customWidth="1"/>
    <col min="2581" max="2581" width="8.5703125" style="2" customWidth="1"/>
    <col min="2582" max="2582" width="8" style="2" customWidth="1"/>
    <col min="2583" max="2583" width="9.5703125" style="2" customWidth="1"/>
    <col min="2584" max="2584" width="8" style="2" customWidth="1"/>
    <col min="2585" max="2585" width="8.28515625" style="2" customWidth="1"/>
    <col min="2586" max="2587" width="8" style="2" customWidth="1"/>
    <col min="2588" max="2588" width="7.28515625" style="2" customWidth="1"/>
    <col min="2589" max="2590" width="9.5703125" style="2" customWidth="1"/>
    <col min="2591" max="2591" width="8" style="2" customWidth="1"/>
    <col min="2592" max="2594" width="9.5703125" style="2" customWidth="1"/>
    <col min="2595" max="2595" width="7.7109375" style="2" customWidth="1"/>
    <col min="2596" max="2596" width="8.28515625" style="2" customWidth="1"/>
    <col min="2597" max="2597" width="7.7109375" style="2" customWidth="1"/>
    <col min="2598" max="2599" width="8" style="2" customWidth="1"/>
    <col min="2600" max="2603" width="9.5703125" style="2" customWidth="1"/>
    <col min="2604" max="2604" width="8" style="2" customWidth="1"/>
    <col min="2605" max="2605" width="8.5703125" style="2" customWidth="1"/>
    <col min="2606" max="2606" width="9.5703125" style="2" customWidth="1"/>
    <col min="2607" max="2607" width="7.28515625" style="2" customWidth="1"/>
    <col min="2608" max="2608" width="7.7109375" style="2" customWidth="1"/>
    <col min="2609" max="2609" width="22.42578125" style="2" customWidth="1"/>
    <col min="2610" max="2610" width="20.7109375" style="2" customWidth="1"/>
    <col min="2611" max="2611" width="33.5703125" style="2" customWidth="1"/>
    <col min="2612" max="2612" width="22.85546875" style="2" customWidth="1"/>
    <col min="2613" max="2613" width="0" style="2" hidden="1" customWidth="1"/>
    <col min="2614" max="2614" width="19.5703125" style="2" customWidth="1"/>
    <col min="2615" max="2616" width="0" style="2" hidden="1" customWidth="1"/>
    <col min="2617" max="2803" width="10.7109375" style="2"/>
    <col min="2804" max="2804" width="9" style="2" customWidth="1"/>
    <col min="2805" max="2805" width="39.7109375" style="2" customWidth="1"/>
    <col min="2806" max="2806" width="17.28515625" style="2" customWidth="1"/>
    <col min="2807" max="2807" width="0" style="2" hidden="1" customWidth="1"/>
    <col min="2808" max="2808" width="7.42578125" style="2" customWidth="1"/>
    <col min="2809" max="2811" width="10.28515625" style="2" customWidth="1"/>
    <col min="2812" max="2812" width="13.5703125" style="2" customWidth="1"/>
    <col min="2813" max="2814" width="8.5703125" style="2" customWidth="1"/>
    <col min="2815" max="2815" width="9.5703125" style="2" customWidth="1"/>
    <col min="2816" max="2818" width="8.5703125" style="2" customWidth="1"/>
    <col min="2819" max="2825" width="9.5703125" style="2" customWidth="1"/>
    <col min="2826" max="2826" width="11.85546875" style="2" customWidth="1"/>
    <col min="2827" max="2828" width="11.7109375" style="2" customWidth="1"/>
    <col min="2829" max="2829" width="9.5703125" style="2" customWidth="1"/>
    <col min="2830" max="2830" width="8" style="2" customWidth="1"/>
    <col min="2831" max="2831" width="9.5703125" style="2" customWidth="1"/>
    <col min="2832" max="2832" width="8" style="2" customWidth="1"/>
    <col min="2833" max="2833" width="9.5703125" style="2" customWidth="1"/>
    <col min="2834" max="2834" width="7.28515625" style="2" customWidth="1"/>
    <col min="2835" max="2835" width="7.7109375" style="2" customWidth="1"/>
    <col min="2836" max="2836" width="9.5703125" style="2" customWidth="1"/>
    <col min="2837" max="2837" width="8.5703125" style="2" customWidth="1"/>
    <col min="2838" max="2838" width="8" style="2" customWidth="1"/>
    <col min="2839" max="2839" width="9.5703125" style="2" customWidth="1"/>
    <col min="2840" max="2840" width="8" style="2" customWidth="1"/>
    <col min="2841" max="2841" width="8.28515625" style="2" customWidth="1"/>
    <col min="2842" max="2843" width="8" style="2" customWidth="1"/>
    <col min="2844" max="2844" width="7.28515625" style="2" customWidth="1"/>
    <col min="2845" max="2846" width="9.5703125" style="2" customWidth="1"/>
    <col min="2847" max="2847" width="8" style="2" customWidth="1"/>
    <col min="2848" max="2850" width="9.5703125" style="2" customWidth="1"/>
    <col min="2851" max="2851" width="7.7109375" style="2" customWidth="1"/>
    <col min="2852" max="2852" width="8.28515625" style="2" customWidth="1"/>
    <col min="2853" max="2853" width="7.7109375" style="2" customWidth="1"/>
    <col min="2854" max="2855" width="8" style="2" customWidth="1"/>
    <col min="2856" max="2859" width="9.5703125" style="2" customWidth="1"/>
    <col min="2860" max="2860" width="8" style="2" customWidth="1"/>
    <col min="2861" max="2861" width="8.5703125" style="2" customWidth="1"/>
    <col min="2862" max="2862" width="9.5703125" style="2" customWidth="1"/>
    <col min="2863" max="2863" width="7.28515625" style="2" customWidth="1"/>
    <col min="2864" max="2864" width="7.7109375" style="2" customWidth="1"/>
    <col min="2865" max="2865" width="22.42578125" style="2" customWidth="1"/>
    <col min="2866" max="2866" width="20.7109375" style="2" customWidth="1"/>
    <col min="2867" max="2867" width="33.5703125" style="2" customWidth="1"/>
    <col min="2868" max="2868" width="22.85546875" style="2" customWidth="1"/>
    <col min="2869" max="2869" width="0" style="2" hidden="1" customWidth="1"/>
    <col min="2870" max="2870" width="19.5703125" style="2" customWidth="1"/>
    <col min="2871" max="2872" width="0" style="2" hidden="1" customWidth="1"/>
    <col min="2873" max="3059" width="10.7109375" style="2"/>
    <col min="3060" max="3060" width="9" style="2" customWidth="1"/>
    <col min="3061" max="3061" width="39.7109375" style="2" customWidth="1"/>
    <col min="3062" max="3062" width="17.28515625" style="2" customWidth="1"/>
    <col min="3063" max="3063" width="0" style="2" hidden="1" customWidth="1"/>
    <col min="3064" max="3064" width="7.42578125" style="2" customWidth="1"/>
    <col min="3065" max="3067" width="10.28515625" style="2" customWidth="1"/>
    <col min="3068" max="3068" width="13.5703125" style="2" customWidth="1"/>
    <col min="3069" max="3070" width="8.5703125" style="2" customWidth="1"/>
    <col min="3071" max="3071" width="9.5703125" style="2" customWidth="1"/>
    <col min="3072" max="3074" width="8.5703125" style="2" customWidth="1"/>
    <col min="3075" max="3081" width="9.5703125" style="2" customWidth="1"/>
    <col min="3082" max="3082" width="11.85546875" style="2" customWidth="1"/>
    <col min="3083" max="3084" width="11.7109375" style="2" customWidth="1"/>
    <col min="3085" max="3085" width="9.5703125" style="2" customWidth="1"/>
    <col min="3086" max="3086" width="8" style="2" customWidth="1"/>
    <col min="3087" max="3087" width="9.5703125" style="2" customWidth="1"/>
    <col min="3088" max="3088" width="8" style="2" customWidth="1"/>
    <col min="3089" max="3089" width="9.5703125" style="2" customWidth="1"/>
    <col min="3090" max="3090" width="7.28515625" style="2" customWidth="1"/>
    <col min="3091" max="3091" width="7.7109375" style="2" customWidth="1"/>
    <col min="3092" max="3092" width="9.5703125" style="2" customWidth="1"/>
    <col min="3093" max="3093" width="8.5703125" style="2" customWidth="1"/>
    <col min="3094" max="3094" width="8" style="2" customWidth="1"/>
    <col min="3095" max="3095" width="9.5703125" style="2" customWidth="1"/>
    <col min="3096" max="3096" width="8" style="2" customWidth="1"/>
    <col min="3097" max="3097" width="8.28515625" style="2" customWidth="1"/>
    <col min="3098" max="3099" width="8" style="2" customWidth="1"/>
    <col min="3100" max="3100" width="7.28515625" style="2" customWidth="1"/>
    <col min="3101" max="3102" width="9.5703125" style="2" customWidth="1"/>
    <col min="3103" max="3103" width="8" style="2" customWidth="1"/>
    <col min="3104" max="3106" width="9.5703125" style="2" customWidth="1"/>
    <col min="3107" max="3107" width="7.7109375" style="2" customWidth="1"/>
    <col min="3108" max="3108" width="8.28515625" style="2" customWidth="1"/>
    <col min="3109" max="3109" width="7.7109375" style="2" customWidth="1"/>
    <col min="3110" max="3111" width="8" style="2" customWidth="1"/>
    <col min="3112" max="3115" width="9.5703125" style="2" customWidth="1"/>
    <col min="3116" max="3116" width="8" style="2" customWidth="1"/>
    <col min="3117" max="3117" width="8.5703125" style="2" customWidth="1"/>
    <col min="3118" max="3118" width="9.5703125" style="2" customWidth="1"/>
    <col min="3119" max="3119" width="7.28515625" style="2" customWidth="1"/>
    <col min="3120" max="3120" width="7.7109375" style="2" customWidth="1"/>
    <col min="3121" max="3121" width="22.42578125" style="2" customWidth="1"/>
    <col min="3122" max="3122" width="20.7109375" style="2" customWidth="1"/>
    <col min="3123" max="3123" width="33.5703125" style="2" customWidth="1"/>
    <col min="3124" max="3124" width="22.85546875" style="2" customWidth="1"/>
    <col min="3125" max="3125" width="0" style="2" hidden="1" customWidth="1"/>
    <col min="3126" max="3126" width="19.5703125" style="2" customWidth="1"/>
    <col min="3127" max="3128" width="0" style="2" hidden="1" customWidth="1"/>
    <col min="3129" max="3315" width="10.7109375" style="2"/>
    <col min="3316" max="3316" width="9" style="2" customWidth="1"/>
    <col min="3317" max="3317" width="39.7109375" style="2" customWidth="1"/>
    <col min="3318" max="3318" width="17.28515625" style="2" customWidth="1"/>
    <col min="3319" max="3319" width="0" style="2" hidden="1" customWidth="1"/>
    <col min="3320" max="3320" width="7.42578125" style="2" customWidth="1"/>
    <col min="3321" max="3323" width="10.28515625" style="2" customWidth="1"/>
    <col min="3324" max="3324" width="13.5703125" style="2" customWidth="1"/>
    <col min="3325" max="3326" width="8.5703125" style="2" customWidth="1"/>
    <col min="3327" max="3327" width="9.5703125" style="2" customWidth="1"/>
    <col min="3328" max="3330" width="8.5703125" style="2" customWidth="1"/>
    <col min="3331" max="3337" width="9.5703125" style="2" customWidth="1"/>
    <col min="3338" max="3338" width="11.85546875" style="2" customWidth="1"/>
    <col min="3339" max="3340" width="11.7109375" style="2" customWidth="1"/>
    <col min="3341" max="3341" width="9.5703125" style="2" customWidth="1"/>
    <col min="3342" max="3342" width="8" style="2" customWidth="1"/>
    <col min="3343" max="3343" width="9.5703125" style="2" customWidth="1"/>
    <col min="3344" max="3344" width="8" style="2" customWidth="1"/>
    <col min="3345" max="3345" width="9.5703125" style="2" customWidth="1"/>
    <col min="3346" max="3346" width="7.28515625" style="2" customWidth="1"/>
    <col min="3347" max="3347" width="7.7109375" style="2" customWidth="1"/>
    <col min="3348" max="3348" width="9.5703125" style="2" customWidth="1"/>
    <col min="3349" max="3349" width="8.5703125" style="2" customWidth="1"/>
    <col min="3350" max="3350" width="8" style="2" customWidth="1"/>
    <col min="3351" max="3351" width="9.5703125" style="2" customWidth="1"/>
    <col min="3352" max="3352" width="8" style="2" customWidth="1"/>
    <col min="3353" max="3353" width="8.28515625" style="2" customWidth="1"/>
    <col min="3354" max="3355" width="8" style="2" customWidth="1"/>
    <col min="3356" max="3356" width="7.28515625" style="2" customWidth="1"/>
    <col min="3357" max="3358" width="9.5703125" style="2" customWidth="1"/>
    <col min="3359" max="3359" width="8" style="2" customWidth="1"/>
    <col min="3360" max="3362" width="9.5703125" style="2" customWidth="1"/>
    <col min="3363" max="3363" width="7.7109375" style="2" customWidth="1"/>
    <col min="3364" max="3364" width="8.28515625" style="2" customWidth="1"/>
    <col min="3365" max="3365" width="7.7109375" style="2" customWidth="1"/>
    <col min="3366" max="3367" width="8" style="2" customWidth="1"/>
    <col min="3368" max="3371" width="9.5703125" style="2" customWidth="1"/>
    <col min="3372" max="3372" width="8" style="2" customWidth="1"/>
    <col min="3373" max="3373" width="8.5703125" style="2" customWidth="1"/>
    <col min="3374" max="3374" width="9.5703125" style="2" customWidth="1"/>
    <col min="3375" max="3375" width="7.28515625" style="2" customWidth="1"/>
    <col min="3376" max="3376" width="7.7109375" style="2" customWidth="1"/>
    <col min="3377" max="3377" width="22.42578125" style="2" customWidth="1"/>
    <col min="3378" max="3378" width="20.7109375" style="2" customWidth="1"/>
    <col min="3379" max="3379" width="33.5703125" style="2" customWidth="1"/>
    <col min="3380" max="3380" width="22.85546875" style="2" customWidth="1"/>
    <col min="3381" max="3381" width="0" style="2" hidden="1" customWidth="1"/>
    <col min="3382" max="3382" width="19.5703125" style="2" customWidth="1"/>
    <col min="3383" max="3384" width="0" style="2" hidden="1" customWidth="1"/>
    <col min="3385" max="3571" width="10.7109375" style="2"/>
    <col min="3572" max="3572" width="9" style="2" customWidth="1"/>
    <col min="3573" max="3573" width="39.7109375" style="2" customWidth="1"/>
    <col min="3574" max="3574" width="17.28515625" style="2" customWidth="1"/>
    <col min="3575" max="3575" width="0" style="2" hidden="1" customWidth="1"/>
    <col min="3576" max="3576" width="7.42578125" style="2" customWidth="1"/>
    <col min="3577" max="3579" width="10.28515625" style="2" customWidth="1"/>
    <col min="3580" max="3580" width="13.5703125" style="2" customWidth="1"/>
    <col min="3581" max="3582" width="8.5703125" style="2" customWidth="1"/>
    <col min="3583" max="3583" width="9.5703125" style="2" customWidth="1"/>
    <col min="3584" max="3586" width="8.5703125" style="2" customWidth="1"/>
    <col min="3587" max="3593" width="9.5703125" style="2" customWidth="1"/>
    <col min="3594" max="3594" width="11.85546875" style="2" customWidth="1"/>
    <col min="3595" max="3596" width="11.7109375" style="2" customWidth="1"/>
    <col min="3597" max="3597" width="9.5703125" style="2" customWidth="1"/>
    <col min="3598" max="3598" width="8" style="2" customWidth="1"/>
    <col min="3599" max="3599" width="9.5703125" style="2" customWidth="1"/>
    <col min="3600" max="3600" width="8" style="2" customWidth="1"/>
    <col min="3601" max="3601" width="9.5703125" style="2" customWidth="1"/>
    <col min="3602" max="3602" width="7.28515625" style="2" customWidth="1"/>
    <col min="3603" max="3603" width="7.7109375" style="2" customWidth="1"/>
    <col min="3604" max="3604" width="9.5703125" style="2" customWidth="1"/>
    <col min="3605" max="3605" width="8.5703125" style="2" customWidth="1"/>
    <col min="3606" max="3606" width="8" style="2" customWidth="1"/>
    <col min="3607" max="3607" width="9.5703125" style="2" customWidth="1"/>
    <col min="3608" max="3608" width="8" style="2" customWidth="1"/>
    <col min="3609" max="3609" width="8.28515625" style="2" customWidth="1"/>
    <col min="3610" max="3611" width="8" style="2" customWidth="1"/>
    <col min="3612" max="3612" width="7.28515625" style="2" customWidth="1"/>
    <col min="3613" max="3614" width="9.5703125" style="2" customWidth="1"/>
    <col min="3615" max="3615" width="8" style="2" customWidth="1"/>
    <col min="3616" max="3618" width="9.5703125" style="2" customWidth="1"/>
    <col min="3619" max="3619" width="7.7109375" style="2" customWidth="1"/>
    <col min="3620" max="3620" width="8.28515625" style="2" customWidth="1"/>
    <col min="3621" max="3621" width="7.7109375" style="2" customWidth="1"/>
    <col min="3622" max="3623" width="8" style="2" customWidth="1"/>
    <col min="3624" max="3627" width="9.5703125" style="2" customWidth="1"/>
    <col min="3628" max="3628" width="8" style="2" customWidth="1"/>
    <col min="3629" max="3629" width="8.5703125" style="2" customWidth="1"/>
    <col min="3630" max="3630" width="9.5703125" style="2" customWidth="1"/>
    <col min="3631" max="3631" width="7.28515625" style="2" customWidth="1"/>
    <col min="3632" max="3632" width="7.7109375" style="2" customWidth="1"/>
    <col min="3633" max="3633" width="22.42578125" style="2" customWidth="1"/>
    <col min="3634" max="3634" width="20.7109375" style="2" customWidth="1"/>
    <col min="3635" max="3635" width="33.5703125" style="2" customWidth="1"/>
    <col min="3636" max="3636" width="22.85546875" style="2" customWidth="1"/>
    <col min="3637" max="3637" width="0" style="2" hidden="1" customWidth="1"/>
    <col min="3638" max="3638" width="19.5703125" style="2" customWidth="1"/>
    <col min="3639" max="3640" width="0" style="2" hidden="1" customWidth="1"/>
    <col min="3641" max="3827" width="10.7109375" style="2"/>
    <col min="3828" max="3828" width="9" style="2" customWidth="1"/>
    <col min="3829" max="3829" width="39.7109375" style="2" customWidth="1"/>
    <col min="3830" max="3830" width="17.28515625" style="2" customWidth="1"/>
    <col min="3831" max="3831" width="0" style="2" hidden="1" customWidth="1"/>
    <col min="3832" max="3832" width="7.42578125" style="2" customWidth="1"/>
    <col min="3833" max="3835" width="10.28515625" style="2" customWidth="1"/>
    <col min="3836" max="3836" width="13.5703125" style="2" customWidth="1"/>
    <col min="3837" max="3838" width="8.5703125" style="2" customWidth="1"/>
    <col min="3839" max="3839" width="9.5703125" style="2" customWidth="1"/>
    <col min="3840" max="3842" width="8.5703125" style="2" customWidth="1"/>
    <col min="3843" max="3849" width="9.5703125" style="2" customWidth="1"/>
    <col min="3850" max="3850" width="11.85546875" style="2" customWidth="1"/>
    <col min="3851" max="3852" width="11.7109375" style="2" customWidth="1"/>
    <col min="3853" max="3853" width="9.5703125" style="2" customWidth="1"/>
    <col min="3854" max="3854" width="8" style="2" customWidth="1"/>
    <col min="3855" max="3855" width="9.5703125" style="2" customWidth="1"/>
    <col min="3856" max="3856" width="8" style="2" customWidth="1"/>
    <col min="3857" max="3857" width="9.5703125" style="2" customWidth="1"/>
    <col min="3858" max="3858" width="7.28515625" style="2" customWidth="1"/>
    <col min="3859" max="3859" width="7.7109375" style="2" customWidth="1"/>
    <col min="3860" max="3860" width="9.5703125" style="2" customWidth="1"/>
    <col min="3861" max="3861" width="8.5703125" style="2" customWidth="1"/>
    <col min="3862" max="3862" width="8" style="2" customWidth="1"/>
    <col min="3863" max="3863" width="9.5703125" style="2" customWidth="1"/>
    <col min="3864" max="3864" width="8" style="2" customWidth="1"/>
    <col min="3865" max="3865" width="8.28515625" style="2" customWidth="1"/>
    <col min="3866" max="3867" width="8" style="2" customWidth="1"/>
    <col min="3868" max="3868" width="7.28515625" style="2" customWidth="1"/>
    <col min="3869" max="3870" width="9.5703125" style="2" customWidth="1"/>
    <col min="3871" max="3871" width="8" style="2" customWidth="1"/>
    <col min="3872" max="3874" width="9.5703125" style="2" customWidth="1"/>
    <col min="3875" max="3875" width="7.7109375" style="2" customWidth="1"/>
    <col min="3876" max="3876" width="8.28515625" style="2" customWidth="1"/>
    <col min="3877" max="3877" width="7.7109375" style="2" customWidth="1"/>
    <col min="3878" max="3879" width="8" style="2" customWidth="1"/>
    <col min="3880" max="3883" width="9.5703125" style="2" customWidth="1"/>
    <col min="3884" max="3884" width="8" style="2" customWidth="1"/>
    <col min="3885" max="3885" width="8.5703125" style="2" customWidth="1"/>
    <col min="3886" max="3886" width="9.5703125" style="2" customWidth="1"/>
    <col min="3887" max="3887" width="7.28515625" style="2" customWidth="1"/>
    <col min="3888" max="3888" width="7.7109375" style="2" customWidth="1"/>
    <col min="3889" max="3889" width="22.42578125" style="2" customWidth="1"/>
    <col min="3890" max="3890" width="20.7109375" style="2" customWidth="1"/>
    <col min="3891" max="3891" width="33.5703125" style="2" customWidth="1"/>
    <col min="3892" max="3892" width="22.85546875" style="2" customWidth="1"/>
    <col min="3893" max="3893" width="0" style="2" hidden="1" customWidth="1"/>
    <col min="3894" max="3894" width="19.5703125" style="2" customWidth="1"/>
    <col min="3895" max="3896" width="0" style="2" hidden="1" customWidth="1"/>
    <col min="3897" max="4083" width="10.7109375" style="2"/>
    <col min="4084" max="4084" width="9" style="2" customWidth="1"/>
    <col min="4085" max="4085" width="39.7109375" style="2" customWidth="1"/>
    <col min="4086" max="4086" width="17.28515625" style="2" customWidth="1"/>
    <col min="4087" max="4087" width="0" style="2" hidden="1" customWidth="1"/>
    <col min="4088" max="4088" width="7.42578125" style="2" customWidth="1"/>
    <col min="4089" max="4091" width="10.28515625" style="2" customWidth="1"/>
    <col min="4092" max="4092" width="13.5703125" style="2" customWidth="1"/>
    <col min="4093" max="4094" width="8.5703125" style="2" customWidth="1"/>
    <col min="4095" max="4095" width="9.5703125" style="2" customWidth="1"/>
    <col min="4096" max="4098" width="8.5703125" style="2" customWidth="1"/>
    <col min="4099" max="4105" width="9.5703125" style="2" customWidth="1"/>
    <col min="4106" max="4106" width="11.85546875" style="2" customWidth="1"/>
    <col min="4107" max="4108" width="11.7109375" style="2" customWidth="1"/>
    <col min="4109" max="4109" width="9.5703125" style="2" customWidth="1"/>
    <col min="4110" max="4110" width="8" style="2" customWidth="1"/>
    <col min="4111" max="4111" width="9.5703125" style="2" customWidth="1"/>
    <col min="4112" max="4112" width="8" style="2" customWidth="1"/>
    <col min="4113" max="4113" width="9.5703125" style="2" customWidth="1"/>
    <col min="4114" max="4114" width="7.28515625" style="2" customWidth="1"/>
    <col min="4115" max="4115" width="7.7109375" style="2" customWidth="1"/>
    <col min="4116" max="4116" width="9.5703125" style="2" customWidth="1"/>
    <col min="4117" max="4117" width="8.5703125" style="2" customWidth="1"/>
    <col min="4118" max="4118" width="8" style="2" customWidth="1"/>
    <col min="4119" max="4119" width="9.5703125" style="2" customWidth="1"/>
    <col min="4120" max="4120" width="8" style="2" customWidth="1"/>
    <col min="4121" max="4121" width="8.28515625" style="2" customWidth="1"/>
    <col min="4122" max="4123" width="8" style="2" customWidth="1"/>
    <col min="4124" max="4124" width="7.28515625" style="2" customWidth="1"/>
    <col min="4125" max="4126" width="9.5703125" style="2" customWidth="1"/>
    <col min="4127" max="4127" width="8" style="2" customWidth="1"/>
    <col min="4128" max="4130" width="9.5703125" style="2" customWidth="1"/>
    <col min="4131" max="4131" width="7.7109375" style="2" customWidth="1"/>
    <col min="4132" max="4132" width="8.28515625" style="2" customWidth="1"/>
    <col min="4133" max="4133" width="7.7109375" style="2" customWidth="1"/>
    <col min="4134" max="4135" width="8" style="2" customWidth="1"/>
    <col min="4136" max="4139" width="9.5703125" style="2" customWidth="1"/>
    <col min="4140" max="4140" width="8" style="2" customWidth="1"/>
    <col min="4141" max="4141" width="8.5703125" style="2" customWidth="1"/>
    <col min="4142" max="4142" width="9.5703125" style="2" customWidth="1"/>
    <col min="4143" max="4143" width="7.28515625" style="2" customWidth="1"/>
    <col min="4144" max="4144" width="7.7109375" style="2" customWidth="1"/>
    <col min="4145" max="4145" width="22.42578125" style="2" customWidth="1"/>
    <col min="4146" max="4146" width="20.7109375" style="2" customWidth="1"/>
    <col min="4147" max="4147" width="33.5703125" style="2" customWidth="1"/>
    <col min="4148" max="4148" width="22.85546875" style="2" customWidth="1"/>
    <col min="4149" max="4149" width="0" style="2" hidden="1" customWidth="1"/>
    <col min="4150" max="4150" width="19.5703125" style="2" customWidth="1"/>
    <col min="4151" max="4152" width="0" style="2" hidden="1" customWidth="1"/>
    <col min="4153" max="4339" width="10.7109375" style="2"/>
    <col min="4340" max="4340" width="9" style="2" customWidth="1"/>
    <col min="4341" max="4341" width="39.7109375" style="2" customWidth="1"/>
    <col min="4342" max="4342" width="17.28515625" style="2" customWidth="1"/>
    <col min="4343" max="4343" width="0" style="2" hidden="1" customWidth="1"/>
    <col min="4344" max="4344" width="7.42578125" style="2" customWidth="1"/>
    <col min="4345" max="4347" width="10.28515625" style="2" customWidth="1"/>
    <col min="4348" max="4348" width="13.5703125" style="2" customWidth="1"/>
    <col min="4349" max="4350" width="8.5703125" style="2" customWidth="1"/>
    <col min="4351" max="4351" width="9.5703125" style="2" customWidth="1"/>
    <col min="4352" max="4354" width="8.5703125" style="2" customWidth="1"/>
    <col min="4355" max="4361" width="9.5703125" style="2" customWidth="1"/>
    <col min="4362" max="4362" width="11.85546875" style="2" customWidth="1"/>
    <col min="4363" max="4364" width="11.7109375" style="2" customWidth="1"/>
    <col min="4365" max="4365" width="9.5703125" style="2" customWidth="1"/>
    <col min="4366" max="4366" width="8" style="2" customWidth="1"/>
    <col min="4367" max="4367" width="9.5703125" style="2" customWidth="1"/>
    <col min="4368" max="4368" width="8" style="2" customWidth="1"/>
    <col min="4369" max="4369" width="9.5703125" style="2" customWidth="1"/>
    <col min="4370" max="4370" width="7.28515625" style="2" customWidth="1"/>
    <col min="4371" max="4371" width="7.7109375" style="2" customWidth="1"/>
    <col min="4372" max="4372" width="9.5703125" style="2" customWidth="1"/>
    <col min="4373" max="4373" width="8.5703125" style="2" customWidth="1"/>
    <col min="4374" max="4374" width="8" style="2" customWidth="1"/>
    <col min="4375" max="4375" width="9.5703125" style="2" customWidth="1"/>
    <col min="4376" max="4376" width="8" style="2" customWidth="1"/>
    <col min="4377" max="4377" width="8.28515625" style="2" customWidth="1"/>
    <col min="4378" max="4379" width="8" style="2" customWidth="1"/>
    <col min="4380" max="4380" width="7.28515625" style="2" customWidth="1"/>
    <col min="4381" max="4382" width="9.5703125" style="2" customWidth="1"/>
    <col min="4383" max="4383" width="8" style="2" customWidth="1"/>
    <col min="4384" max="4386" width="9.5703125" style="2" customWidth="1"/>
    <col min="4387" max="4387" width="7.7109375" style="2" customWidth="1"/>
    <col min="4388" max="4388" width="8.28515625" style="2" customWidth="1"/>
    <col min="4389" max="4389" width="7.7109375" style="2" customWidth="1"/>
    <col min="4390" max="4391" width="8" style="2" customWidth="1"/>
    <col min="4392" max="4395" width="9.5703125" style="2" customWidth="1"/>
    <col min="4396" max="4396" width="8" style="2" customWidth="1"/>
    <col min="4397" max="4397" width="8.5703125" style="2" customWidth="1"/>
    <col min="4398" max="4398" width="9.5703125" style="2" customWidth="1"/>
    <col min="4399" max="4399" width="7.28515625" style="2" customWidth="1"/>
    <col min="4400" max="4400" width="7.7109375" style="2" customWidth="1"/>
    <col min="4401" max="4401" width="22.42578125" style="2" customWidth="1"/>
    <col min="4402" max="4402" width="20.7109375" style="2" customWidth="1"/>
    <col min="4403" max="4403" width="33.5703125" style="2" customWidth="1"/>
    <col min="4404" max="4404" width="22.85546875" style="2" customWidth="1"/>
    <col min="4405" max="4405" width="0" style="2" hidden="1" customWidth="1"/>
    <col min="4406" max="4406" width="19.5703125" style="2" customWidth="1"/>
    <col min="4407" max="4408" width="0" style="2" hidden="1" customWidth="1"/>
    <col min="4409" max="4595" width="10.7109375" style="2"/>
    <col min="4596" max="4596" width="9" style="2" customWidth="1"/>
    <col min="4597" max="4597" width="39.7109375" style="2" customWidth="1"/>
    <col min="4598" max="4598" width="17.28515625" style="2" customWidth="1"/>
    <col min="4599" max="4599" width="0" style="2" hidden="1" customWidth="1"/>
    <col min="4600" max="4600" width="7.42578125" style="2" customWidth="1"/>
    <col min="4601" max="4603" width="10.28515625" style="2" customWidth="1"/>
    <col min="4604" max="4604" width="13.5703125" style="2" customWidth="1"/>
    <col min="4605" max="4606" width="8.5703125" style="2" customWidth="1"/>
    <col min="4607" max="4607" width="9.5703125" style="2" customWidth="1"/>
    <col min="4608" max="4610" width="8.5703125" style="2" customWidth="1"/>
    <col min="4611" max="4617" width="9.5703125" style="2" customWidth="1"/>
    <col min="4618" max="4618" width="11.85546875" style="2" customWidth="1"/>
    <col min="4619" max="4620" width="11.7109375" style="2" customWidth="1"/>
    <col min="4621" max="4621" width="9.5703125" style="2" customWidth="1"/>
    <col min="4622" max="4622" width="8" style="2" customWidth="1"/>
    <col min="4623" max="4623" width="9.5703125" style="2" customWidth="1"/>
    <col min="4624" max="4624" width="8" style="2" customWidth="1"/>
    <col min="4625" max="4625" width="9.5703125" style="2" customWidth="1"/>
    <col min="4626" max="4626" width="7.28515625" style="2" customWidth="1"/>
    <col min="4627" max="4627" width="7.7109375" style="2" customWidth="1"/>
    <col min="4628" max="4628" width="9.5703125" style="2" customWidth="1"/>
    <col min="4629" max="4629" width="8.5703125" style="2" customWidth="1"/>
    <col min="4630" max="4630" width="8" style="2" customWidth="1"/>
    <col min="4631" max="4631" width="9.5703125" style="2" customWidth="1"/>
    <col min="4632" max="4632" width="8" style="2" customWidth="1"/>
    <col min="4633" max="4633" width="8.28515625" style="2" customWidth="1"/>
    <col min="4634" max="4635" width="8" style="2" customWidth="1"/>
    <col min="4636" max="4636" width="7.28515625" style="2" customWidth="1"/>
    <col min="4637" max="4638" width="9.5703125" style="2" customWidth="1"/>
    <col min="4639" max="4639" width="8" style="2" customWidth="1"/>
    <col min="4640" max="4642" width="9.5703125" style="2" customWidth="1"/>
    <col min="4643" max="4643" width="7.7109375" style="2" customWidth="1"/>
    <col min="4644" max="4644" width="8.28515625" style="2" customWidth="1"/>
    <col min="4645" max="4645" width="7.7109375" style="2" customWidth="1"/>
    <col min="4646" max="4647" width="8" style="2" customWidth="1"/>
    <col min="4648" max="4651" width="9.5703125" style="2" customWidth="1"/>
    <col min="4652" max="4652" width="8" style="2" customWidth="1"/>
    <col min="4653" max="4653" width="8.5703125" style="2" customWidth="1"/>
    <col min="4654" max="4654" width="9.5703125" style="2" customWidth="1"/>
    <col min="4655" max="4655" width="7.28515625" style="2" customWidth="1"/>
    <col min="4656" max="4656" width="7.7109375" style="2" customWidth="1"/>
    <col min="4657" max="4657" width="22.42578125" style="2" customWidth="1"/>
    <col min="4658" max="4658" width="20.7109375" style="2" customWidth="1"/>
    <col min="4659" max="4659" width="33.5703125" style="2" customWidth="1"/>
    <col min="4660" max="4660" width="22.85546875" style="2" customWidth="1"/>
    <col min="4661" max="4661" width="0" style="2" hidden="1" customWidth="1"/>
    <col min="4662" max="4662" width="19.5703125" style="2" customWidth="1"/>
    <col min="4663" max="4664" width="0" style="2" hidden="1" customWidth="1"/>
    <col min="4665" max="4851" width="10.7109375" style="2"/>
    <col min="4852" max="4852" width="9" style="2" customWidth="1"/>
    <col min="4853" max="4853" width="39.7109375" style="2" customWidth="1"/>
    <col min="4854" max="4854" width="17.28515625" style="2" customWidth="1"/>
    <col min="4855" max="4855" width="0" style="2" hidden="1" customWidth="1"/>
    <col min="4856" max="4856" width="7.42578125" style="2" customWidth="1"/>
    <col min="4857" max="4859" width="10.28515625" style="2" customWidth="1"/>
    <col min="4860" max="4860" width="13.5703125" style="2" customWidth="1"/>
    <col min="4861" max="4862" width="8.5703125" style="2" customWidth="1"/>
    <col min="4863" max="4863" width="9.5703125" style="2" customWidth="1"/>
    <col min="4864" max="4866" width="8.5703125" style="2" customWidth="1"/>
    <col min="4867" max="4873" width="9.5703125" style="2" customWidth="1"/>
    <col min="4874" max="4874" width="11.85546875" style="2" customWidth="1"/>
    <col min="4875" max="4876" width="11.7109375" style="2" customWidth="1"/>
    <col min="4877" max="4877" width="9.5703125" style="2" customWidth="1"/>
    <col min="4878" max="4878" width="8" style="2" customWidth="1"/>
    <col min="4879" max="4879" width="9.5703125" style="2" customWidth="1"/>
    <col min="4880" max="4880" width="8" style="2" customWidth="1"/>
    <col min="4881" max="4881" width="9.5703125" style="2" customWidth="1"/>
    <col min="4882" max="4882" width="7.28515625" style="2" customWidth="1"/>
    <col min="4883" max="4883" width="7.7109375" style="2" customWidth="1"/>
    <col min="4884" max="4884" width="9.5703125" style="2" customWidth="1"/>
    <col min="4885" max="4885" width="8.5703125" style="2" customWidth="1"/>
    <col min="4886" max="4886" width="8" style="2" customWidth="1"/>
    <col min="4887" max="4887" width="9.5703125" style="2" customWidth="1"/>
    <col min="4888" max="4888" width="8" style="2" customWidth="1"/>
    <col min="4889" max="4889" width="8.28515625" style="2" customWidth="1"/>
    <col min="4890" max="4891" width="8" style="2" customWidth="1"/>
    <col min="4892" max="4892" width="7.28515625" style="2" customWidth="1"/>
    <col min="4893" max="4894" width="9.5703125" style="2" customWidth="1"/>
    <col min="4895" max="4895" width="8" style="2" customWidth="1"/>
    <col min="4896" max="4898" width="9.5703125" style="2" customWidth="1"/>
    <col min="4899" max="4899" width="7.7109375" style="2" customWidth="1"/>
    <col min="4900" max="4900" width="8.28515625" style="2" customWidth="1"/>
    <col min="4901" max="4901" width="7.7109375" style="2" customWidth="1"/>
    <col min="4902" max="4903" width="8" style="2" customWidth="1"/>
    <col min="4904" max="4907" width="9.5703125" style="2" customWidth="1"/>
    <col min="4908" max="4908" width="8" style="2" customWidth="1"/>
    <col min="4909" max="4909" width="8.5703125" style="2" customWidth="1"/>
    <col min="4910" max="4910" width="9.5703125" style="2" customWidth="1"/>
    <col min="4911" max="4911" width="7.28515625" style="2" customWidth="1"/>
    <col min="4912" max="4912" width="7.7109375" style="2" customWidth="1"/>
    <col min="4913" max="4913" width="22.42578125" style="2" customWidth="1"/>
    <col min="4914" max="4914" width="20.7109375" style="2" customWidth="1"/>
    <col min="4915" max="4915" width="33.5703125" style="2" customWidth="1"/>
    <col min="4916" max="4916" width="22.85546875" style="2" customWidth="1"/>
    <col min="4917" max="4917" width="0" style="2" hidden="1" customWidth="1"/>
    <col min="4918" max="4918" width="19.5703125" style="2" customWidth="1"/>
    <col min="4919" max="4920" width="0" style="2" hidden="1" customWidth="1"/>
    <col min="4921" max="5107" width="10.7109375" style="2"/>
    <col min="5108" max="5108" width="9" style="2" customWidth="1"/>
    <col min="5109" max="5109" width="39.7109375" style="2" customWidth="1"/>
    <col min="5110" max="5110" width="17.28515625" style="2" customWidth="1"/>
    <col min="5111" max="5111" width="0" style="2" hidden="1" customWidth="1"/>
    <col min="5112" max="5112" width="7.42578125" style="2" customWidth="1"/>
    <col min="5113" max="5115" width="10.28515625" style="2" customWidth="1"/>
    <col min="5116" max="5116" width="13.5703125" style="2" customWidth="1"/>
    <col min="5117" max="5118" width="8.5703125" style="2" customWidth="1"/>
    <col min="5119" max="5119" width="9.5703125" style="2" customWidth="1"/>
    <col min="5120" max="5122" width="8.5703125" style="2" customWidth="1"/>
    <col min="5123" max="5129" width="9.5703125" style="2" customWidth="1"/>
    <col min="5130" max="5130" width="11.85546875" style="2" customWidth="1"/>
    <col min="5131" max="5132" width="11.7109375" style="2" customWidth="1"/>
    <col min="5133" max="5133" width="9.5703125" style="2" customWidth="1"/>
    <col min="5134" max="5134" width="8" style="2" customWidth="1"/>
    <col min="5135" max="5135" width="9.5703125" style="2" customWidth="1"/>
    <col min="5136" max="5136" width="8" style="2" customWidth="1"/>
    <col min="5137" max="5137" width="9.5703125" style="2" customWidth="1"/>
    <col min="5138" max="5138" width="7.28515625" style="2" customWidth="1"/>
    <col min="5139" max="5139" width="7.7109375" style="2" customWidth="1"/>
    <col min="5140" max="5140" width="9.5703125" style="2" customWidth="1"/>
    <col min="5141" max="5141" width="8.5703125" style="2" customWidth="1"/>
    <col min="5142" max="5142" width="8" style="2" customWidth="1"/>
    <col min="5143" max="5143" width="9.5703125" style="2" customWidth="1"/>
    <col min="5144" max="5144" width="8" style="2" customWidth="1"/>
    <col min="5145" max="5145" width="8.28515625" style="2" customWidth="1"/>
    <col min="5146" max="5147" width="8" style="2" customWidth="1"/>
    <col min="5148" max="5148" width="7.28515625" style="2" customWidth="1"/>
    <col min="5149" max="5150" width="9.5703125" style="2" customWidth="1"/>
    <col min="5151" max="5151" width="8" style="2" customWidth="1"/>
    <col min="5152" max="5154" width="9.5703125" style="2" customWidth="1"/>
    <col min="5155" max="5155" width="7.7109375" style="2" customWidth="1"/>
    <col min="5156" max="5156" width="8.28515625" style="2" customWidth="1"/>
    <col min="5157" max="5157" width="7.7109375" style="2" customWidth="1"/>
    <col min="5158" max="5159" width="8" style="2" customWidth="1"/>
    <col min="5160" max="5163" width="9.5703125" style="2" customWidth="1"/>
    <col min="5164" max="5164" width="8" style="2" customWidth="1"/>
    <col min="5165" max="5165" width="8.5703125" style="2" customWidth="1"/>
    <col min="5166" max="5166" width="9.5703125" style="2" customWidth="1"/>
    <col min="5167" max="5167" width="7.28515625" style="2" customWidth="1"/>
    <col min="5168" max="5168" width="7.7109375" style="2" customWidth="1"/>
    <col min="5169" max="5169" width="22.42578125" style="2" customWidth="1"/>
    <col min="5170" max="5170" width="20.7109375" style="2" customWidth="1"/>
    <col min="5171" max="5171" width="33.5703125" style="2" customWidth="1"/>
    <col min="5172" max="5172" width="22.85546875" style="2" customWidth="1"/>
    <col min="5173" max="5173" width="0" style="2" hidden="1" customWidth="1"/>
    <col min="5174" max="5174" width="19.5703125" style="2" customWidth="1"/>
    <col min="5175" max="5176" width="0" style="2" hidden="1" customWidth="1"/>
    <col min="5177" max="5363" width="10.7109375" style="2"/>
    <col min="5364" max="5364" width="9" style="2" customWidth="1"/>
    <col min="5365" max="5365" width="39.7109375" style="2" customWidth="1"/>
    <col min="5366" max="5366" width="17.28515625" style="2" customWidth="1"/>
    <col min="5367" max="5367" width="0" style="2" hidden="1" customWidth="1"/>
    <col min="5368" max="5368" width="7.42578125" style="2" customWidth="1"/>
    <col min="5369" max="5371" width="10.28515625" style="2" customWidth="1"/>
    <col min="5372" max="5372" width="13.5703125" style="2" customWidth="1"/>
    <col min="5373" max="5374" width="8.5703125" style="2" customWidth="1"/>
    <col min="5375" max="5375" width="9.5703125" style="2" customWidth="1"/>
    <col min="5376" max="5378" width="8.5703125" style="2" customWidth="1"/>
    <col min="5379" max="5385" width="9.5703125" style="2" customWidth="1"/>
    <col min="5386" max="5386" width="11.85546875" style="2" customWidth="1"/>
    <col min="5387" max="5388" width="11.7109375" style="2" customWidth="1"/>
    <col min="5389" max="5389" width="9.5703125" style="2" customWidth="1"/>
    <col min="5390" max="5390" width="8" style="2" customWidth="1"/>
    <col min="5391" max="5391" width="9.5703125" style="2" customWidth="1"/>
    <col min="5392" max="5392" width="8" style="2" customWidth="1"/>
    <col min="5393" max="5393" width="9.5703125" style="2" customWidth="1"/>
    <col min="5394" max="5394" width="7.28515625" style="2" customWidth="1"/>
    <col min="5395" max="5395" width="7.7109375" style="2" customWidth="1"/>
    <col min="5396" max="5396" width="9.5703125" style="2" customWidth="1"/>
    <col min="5397" max="5397" width="8.5703125" style="2" customWidth="1"/>
    <col min="5398" max="5398" width="8" style="2" customWidth="1"/>
    <col min="5399" max="5399" width="9.5703125" style="2" customWidth="1"/>
    <col min="5400" max="5400" width="8" style="2" customWidth="1"/>
    <col min="5401" max="5401" width="8.28515625" style="2" customWidth="1"/>
    <col min="5402" max="5403" width="8" style="2" customWidth="1"/>
    <col min="5404" max="5404" width="7.28515625" style="2" customWidth="1"/>
    <col min="5405" max="5406" width="9.5703125" style="2" customWidth="1"/>
    <col min="5407" max="5407" width="8" style="2" customWidth="1"/>
    <col min="5408" max="5410" width="9.5703125" style="2" customWidth="1"/>
    <col min="5411" max="5411" width="7.7109375" style="2" customWidth="1"/>
    <col min="5412" max="5412" width="8.28515625" style="2" customWidth="1"/>
    <col min="5413" max="5413" width="7.7109375" style="2" customWidth="1"/>
    <col min="5414" max="5415" width="8" style="2" customWidth="1"/>
    <col min="5416" max="5419" width="9.5703125" style="2" customWidth="1"/>
    <col min="5420" max="5420" width="8" style="2" customWidth="1"/>
    <col min="5421" max="5421" width="8.5703125" style="2" customWidth="1"/>
    <col min="5422" max="5422" width="9.5703125" style="2" customWidth="1"/>
    <col min="5423" max="5423" width="7.28515625" style="2" customWidth="1"/>
    <col min="5424" max="5424" width="7.7109375" style="2" customWidth="1"/>
    <col min="5425" max="5425" width="22.42578125" style="2" customWidth="1"/>
    <col min="5426" max="5426" width="20.7109375" style="2" customWidth="1"/>
    <col min="5427" max="5427" width="33.5703125" style="2" customWidth="1"/>
    <col min="5428" max="5428" width="22.85546875" style="2" customWidth="1"/>
    <col min="5429" max="5429" width="0" style="2" hidden="1" customWidth="1"/>
    <col min="5430" max="5430" width="19.5703125" style="2" customWidth="1"/>
    <col min="5431" max="5432" width="0" style="2" hidden="1" customWidth="1"/>
    <col min="5433" max="5619" width="10.7109375" style="2"/>
    <col min="5620" max="5620" width="9" style="2" customWidth="1"/>
    <col min="5621" max="5621" width="39.7109375" style="2" customWidth="1"/>
    <col min="5622" max="5622" width="17.28515625" style="2" customWidth="1"/>
    <col min="5623" max="5623" width="0" style="2" hidden="1" customWidth="1"/>
    <col min="5624" max="5624" width="7.42578125" style="2" customWidth="1"/>
    <col min="5625" max="5627" width="10.28515625" style="2" customWidth="1"/>
    <col min="5628" max="5628" width="13.5703125" style="2" customWidth="1"/>
    <col min="5629" max="5630" width="8.5703125" style="2" customWidth="1"/>
    <col min="5631" max="5631" width="9.5703125" style="2" customWidth="1"/>
    <col min="5632" max="5634" width="8.5703125" style="2" customWidth="1"/>
    <col min="5635" max="5641" width="9.5703125" style="2" customWidth="1"/>
    <col min="5642" max="5642" width="11.85546875" style="2" customWidth="1"/>
    <col min="5643" max="5644" width="11.7109375" style="2" customWidth="1"/>
    <col min="5645" max="5645" width="9.5703125" style="2" customWidth="1"/>
    <col min="5646" max="5646" width="8" style="2" customWidth="1"/>
    <col min="5647" max="5647" width="9.5703125" style="2" customWidth="1"/>
    <col min="5648" max="5648" width="8" style="2" customWidth="1"/>
    <col min="5649" max="5649" width="9.5703125" style="2" customWidth="1"/>
    <col min="5650" max="5650" width="7.28515625" style="2" customWidth="1"/>
    <col min="5651" max="5651" width="7.7109375" style="2" customWidth="1"/>
    <col min="5652" max="5652" width="9.5703125" style="2" customWidth="1"/>
    <col min="5653" max="5653" width="8.5703125" style="2" customWidth="1"/>
    <col min="5654" max="5654" width="8" style="2" customWidth="1"/>
    <col min="5655" max="5655" width="9.5703125" style="2" customWidth="1"/>
    <col min="5656" max="5656" width="8" style="2" customWidth="1"/>
    <col min="5657" max="5657" width="8.28515625" style="2" customWidth="1"/>
    <col min="5658" max="5659" width="8" style="2" customWidth="1"/>
    <col min="5660" max="5660" width="7.28515625" style="2" customWidth="1"/>
    <col min="5661" max="5662" width="9.5703125" style="2" customWidth="1"/>
    <col min="5663" max="5663" width="8" style="2" customWidth="1"/>
    <col min="5664" max="5666" width="9.5703125" style="2" customWidth="1"/>
    <col min="5667" max="5667" width="7.7109375" style="2" customWidth="1"/>
    <col min="5668" max="5668" width="8.28515625" style="2" customWidth="1"/>
    <col min="5669" max="5669" width="7.7109375" style="2" customWidth="1"/>
    <col min="5670" max="5671" width="8" style="2" customWidth="1"/>
    <col min="5672" max="5675" width="9.5703125" style="2" customWidth="1"/>
    <col min="5676" max="5676" width="8" style="2" customWidth="1"/>
    <col min="5677" max="5677" width="8.5703125" style="2" customWidth="1"/>
    <col min="5678" max="5678" width="9.5703125" style="2" customWidth="1"/>
    <col min="5679" max="5679" width="7.28515625" style="2" customWidth="1"/>
    <col min="5680" max="5680" width="7.7109375" style="2" customWidth="1"/>
    <col min="5681" max="5681" width="22.42578125" style="2" customWidth="1"/>
    <col min="5682" max="5682" width="20.7109375" style="2" customWidth="1"/>
    <col min="5683" max="5683" width="33.5703125" style="2" customWidth="1"/>
    <col min="5684" max="5684" width="22.85546875" style="2" customWidth="1"/>
    <col min="5685" max="5685" width="0" style="2" hidden="1" customWidth="1"/>
    <col min="5686" max="5686" width="19.5703125" style="2" customWidth="1"/>
    <col min="5687" max="5688" width="0" style="2" hidden="1" customWidth="1"/>
    <col min="5689" max="5875" width="10.7109375" style="2"/>
    <col min="5876" max="5876" width="9" style="2" customWidth="1"/>
    <col min="5877" max="5877" width="39.7109375" style="2" customWidth="1"/>
    <col min="5878" max="5878" width="17.28515625" style="2" customWidth="1"/>
    <col min="5879" max="5879" width="0" style="2" hidden="1" customWidth="1"/>
    <col min="5880" max="5880" width="7.42578125" style="2" customWidth="1"/>
    <col min="5881" max="5883" width="10.28515625" style="2" customWidth="1"/>
    <col min="5884" max="5884" width="13.5703125" style="2" customWidth="1"/>
    <col min="5885" max="5886" width="8.5703125" style="2" customWidth="1"/>
    <col min="5887" max="5887" width="9.5703125" style="2" customWidth="1"/>
    <col min="5888" max="5890" width="8.5703125" style="2" customWidth="1"/>
    <col min="5891" max="5897" width="9.5703125" style="2" customWidth="1"/>
    <col min="5898" max="5898" width="11.85546875" style="2" customWidth="1"/>
    <col min="5899" max="5900" width="11.7109375" style="2" customWidth="1"/>
    <col min="5901" max="5901" width="9.5703125" style="2" customWidth="1"/>
    <col min="5902" max="5902" width="8" style="2" customWidth="1"/>
    <col min="5903" max="5903" width="9.5703125" style="2" customWidth="1"/>
    <col min="5904" max="5904" width="8" style="2" customWidth="1"/>
    <col min="5905" max="5905" width="9.5703125" style="2" customWidth="1"/>
    <col min="5906" max="5906" width="7.28515625" style="2" customWidth="1"/>
    <col min="5907" max="5907" width="7.7109375" style="2" customWidth="1"/>
    <col min="5908" max="5908" width="9.5703125" style="2" customWidth="1"/>
    <col min="5909" max="5909" width="8.5703125" style="2" customWidth="1"/>
    <col min="5910" max="5910" width="8" style="2" customWidth="1"/>
    <col min="5911" max="5911" width="9.5703125" style="2" customWidth="1"/>
    <col min="5912" max="5912" width="8" style="2" customWidth="1"/>
    <col min="5913" max="5913" width="8.28515625" style="2" customWidth="1"/>
    <col min="5914" max="5915" width="8" style="2" customWidth="1"/>
    <col min="5916" max="5916" width="7.28515625" style="2" customWidth="1"/>
    <col min="5917" max="5918" width="9.5703125" style="2" customWidth="1"/>
    <col min="5919" max="5919" width="8" style="2" customWidth="1"/>
    <col min="5920" max="5922" width="9.5703125" style="2" customWidth="1"/>
    <col min="5923" max="5923" width="7.7109375" style="2" customWidth="1"/>
    <col min="5924" max="5924" width="8.28515625" style="2" customWidth="1"/>
    <col min="5925" max="5925" width="7.7109375" style="2" customWidth="1"/>
    <col min="5926" max="5927" width="8" style="2" customWidth="1"/>
    <col min="5928" max="5931" width="9.5703125" style="2" customWidth="1"/>
    <col min="5932" max="5932" width="8" style="2" customWidth="1"/>
    <col min="5933" max="5933" width="8.5703125" style="2" customWidth="1"/>
    <col min="5934" max="5934" width="9.5703125" style="2" customWidth="1"/>
    <col min="5935" max="5935" width="7.28515625" style="2" customWidth="1"/>
    <col min="5936" max="5936" width="7.7109375" style="2" customWidth="1"/>
    <col min="5937" max="5937" width="22.42578125" style="2" customWidth="1"/>
    <col min="5938" max="5938" width="20.7109375" style="2" customWidth="1"/>
    <col min="5939" max="5939" width="33.5703125" style="2" customWidth="1"/>
    <col min="5940" max="5940" width="22.85546875" style="2" customWidth="1"/>
    <col min="5941" max="5941" width="0" style="2" hidden="1" customWidth="1"/>
    <col min="5942" max="5942" width="19.5703125" style="2" customWidth="1"/>
    <col min="5943" max="5944" width="0" style="2" hidden="1" customWidth="1"/>
    <col min="5945" max="6131" width="10.7109375" style="2"/>
    <col min="6132" max="6132" width="9" style="2" customWidth="1"/>
    <col min="6133" max="6133" width="39.7109375" style="2" customWidth="1"/>
    <col min="6134" max="6134" width="17.28515625" style="2" customWidth="1"/>
    <col min="6135" max="6135" width="0" style="2" hidden="1" customWidth="1"/>
    <col min="6136" max="6136" width="7.42578125" style="2" customWidth="1"/>
    <col min="6137" max="6139" width="10.28515625" style="2" customWidth="1"/>
    <col min="6140" max="6140" width="13.5703125" style="2" customWidth="1"/>
    <col min="6141" max="6142" width="8.5703125" style="2" customWidth="1"/>
    <col min="6143" max="6143" width="9.5703125" style="2" customWidth="1"/>
    <col min="6144" max="6146" width="8.5703125" style="2" customWidth="1"/>
    <col min="6147" max="6153" width="9.5703125" style="2" customWidth="1"/>
    <col min="6154" max="6154" width="11.85546875" style="2" customWidth="1"/>
    <col min="6155" max="6156" width="11.7109375" style="2" customWidth="1"/>
    <col min="6157" max="6157" width="9.5703125" style="2" customWidth="1"/>
    <col min="6158" max="6158" width="8" style="2" customWidth="1"/>
    <col min="6159" max="6159" width="9.5703125" style="2" customWidth="1"/>
    <col min="6160" max="6160" width="8" style="2" customWidth="1"/>
    <col min="6161" max="6161" width="9.5703125" style="2" customWidth="1"/>
    <col min="6162" max="6162" width="7.28515625" style="2" customWidth="1"/>
    <col min="6163" max="6163" width="7.7109375" style="2" customWidth="1"/>
    <col min="6164" max="6164" width="9.5703125" style="2" customWidth="1"/>
    <col min="6165" max="6165" width="8.5703125" style="2" customWidth="1"/>
    <col min="6166" max="6166" width="8" style="2" customWidth="1"/>
    <col min="6167" max="6167" width="9.5703125" style="2" customWidth="1"/>
    <col min="6168" max="6168" width="8" style="2" customWidth="1"/>
    <col min="6169" max="6169" width="8.28515625" style="2" customWidth="1"/>
    <col min="6170" max="6171" width="8" style="2" customWidth="1"/>
    <col min="6172" max="6172" width="7.28515625" style="2" customWidth="1"/>
    <col min="6173" max="6174" width="9.5703125" style="2" customWidth="1"/>
    <col min="6175" max="6175" width="8" style="2" customWidth="1"/>
    <col min="6176" max="6178" width="9.5703125" style="2" customWidth="1"/>
    <col min="6179" max="6179" width="7.7109375" style="2" customWidth="1"/>
    <col min="6180" max="6180" width="8.28515625" style="2" customWidth="1"/>
    <col min="6181" max="6181" width="7.7109375" style="2" customWidth="1"/>
    <col min="6182" max="6183" width="8" style="2" customWidth="1"/>
    <col min="6184" max="6187" width="9.5703125" style="2" customWidth="1"/>
    <col min="6188" max="6188" width="8" style="2" customWidth="1"/>
    <col min="6189" max="6189" width="8.5703125" style="2" customWidth="1"/>
    <col min="6190" max="6190" width="9.5703125" style="2" customWidth="1"/>
    <col min="6191" max="6191" width="7.28515625" style="2" customWidth="1"/>
    <col min="6192" max="6192" width="7.7109375" style="2" customWidth="1"/>
    <col min="6193" max="6193" width="22.42578125" style="2" customWidth="1"/>
    <col min="6194" max="6194" width="20.7109375" style="2" customWidth="1"/>
    <col min="6195" max="6195" width="33.5703125" style="2" customWidth="1"/>
    <col min="6196" max="6196" width="22.85546875" style="2" customWidth="1"/>
    <col min="6197" max="6197" width="0" style="2" hidden="1" customWidth="1"/>
    <col min="6198" max="6198" width="19.5703125" style="2" customWidth="1"/>
    <col min="6199" max="6200" width="0" style="2" hidden="1" customWidth="1"/>
    <col min="6201" max="6387" width="10.7109375" style="2"/>
    <col min="6388" max="6388" width="9" style="2" customWidth="1"/>
    <col min="6389" max="6389" width="39.7109375" style="2" customWidth="1"/>
    <col min="6390" max="6390" width="17.28515625" style="2" customWidth="1"/>
    <col min="6391" max="6391" width="0" style="2" hidden="1" customWidth="1"/>
    <col min="6392" max="6392" width="7.42578125" style="2" customWidth="1"/>
    <col min="6393" max="6395" width="10.28515625" style="2" customWidth="1"/>
    <col min="6396" max="6396" width="13.5703125" style="2" customWidth="1"/>
    <col min="6397" max="6398" width="8.5703125" style="2" customWidth="1"/>
    <col min="6399" max="6399" width="9.5703125" style="2" customWidth="1"/>
    <col min="6400" max="6402" width="8.5703125" style="2" customWidth="1"/>
    <col min="6403" max="6409" width="9.5703125" style="2" customWidth="1"/>
    <col min="6410" max="6410" width="11.85546875" style="2" customWidth="1"/>
    <col min="6411" max="6412" width="11.7109375" style="2" customWidth="1"/>
    <col min="6413" max="6413" width="9.5703125" style="2" customWidth="1"/>
    <col min="6414" max="6414" width="8" style="2" customWidth="1"/>
    <col min="6415" max="6415" width="9.5703125" style="2" customWidth="1"/>
    <col min="6416" max="6416" width="8" style="2" customWidth="1"/>
    <col min="6417" max="6417" width="9.5703125" style="2" customWidth="1"/>
    <col min="6418" max="6418" width="7.28515625" style="2" customWidth="1"/>
    <col min="6419" max="6419" width="7.7109375" style="2" customWidth="1"/>
    <col min="6420" max="6420" width="9.5703125" style="2" customWidth="1"/>
    <col min="6421" max="6421" width="8.5703125" style="2" customWidth="1"/>
    <col min="6422" max="6422" width="8" style="2" customWidth="1"/>
    <col min="6423" max="6423" width="9.5703125" style="2" customWidth="1"/>
    <col min="6424" max="6424" width="8" style="2" customWidth="1"/>
    <col min="6425" max="6425" width="8.28515625" style="2" customWidth="1"/>
    <col min="6426" max="6427" width="8" style="2" customWidth="1"/>
    <col min="6428" max="6428" width="7.28515625" style="2" customWidth="1"/>
    <col min="6429" max="6430" width="9.5703125" style="2" customWidth="1"/>
    <col min="6431" max="6431" width="8" style="2" customWidth="1"/>
    <col min="6432" max="6434" width="9.5703125" style="2" customWidth="1"/>
    <col min="6435" max="6435" width="7.7109375" style="2" customWidth="1"/>
    <col min="6436" max="6436" width="8.28515625" style="2" customWidth="1"/>
    <col min="6437" max="6437" width="7.7109375" style="2" customWidth="1"/>
    <col min="6438" max="6439" width="8" style="2" customWidth="1"/>
    <col min="6440" max="6443" width="9.5703125" style="2" customWidth="1"/>
    <col min="6444" max="6444" width="8" style="2" customWidth="1"/>
    <col min="6445" max="6445" width="8.5703125" style="2" customWidth="1"/>
    <col min="6446" max="6446" width="9.5703125" style="2" customWidth="1"/>
    <col min="6447" max="6447" width="7.28515625" style="2" customWidth="1"/>
    <col min="6448" max="6448" width="7.7109375" style="2" customWidth="1"/>
    <col min="6449" max="6449" width="22.42578125" style="2" customWidth="1"/>
    <col min="6450" max="6450" width="20.7109375" style="2" customWidth="1"/>
    <col min="6451" max="6451" width="33.5703125" style="2" customWidth="1"/>
    <col min="6452" max="6452" width="22.85546875" style="2" customWidth="1"/>
    <col min="6453" max="6453" width="0" style="2" hidden="1" customWidth="1"/>
    <col min="6454" max="6454" width="19.5703125" style="2" customWidth="1"/>
    <col min="6455" max="6456" width="0" style="2" hidden="1" customWidth="1"/>
    <col min="6457" max="6643" width="10.7109375" style="2"/>
    <col min="6644" max="6644" width="9" style="2" customWidth="1"/>
    <col min="6645" max="6645" width="39.7109375" style="2" customWidth="1"/>
    <col min="6646" max="6646" width="17.28515625" style="2" customWidth="1"/>
    <col min="6647" max="6647" width="0" style="2" hidden="1" customWidth="1"/>
    <col min="6648" max="6648" width="7.42578125" style="2" customWidth="1"/>
    <col min="6649" max="6651" width="10.28515625" style="2" customWidth="1"/>
    <col min="6652" max="6652" width="13.5703125" style="2" customWidth="1"/>
    <col min="6653" max="6654" width="8.5703125" style="2" customWidth="1"/>
    <col min="6655" max="6655" width="9.5703125" style="2" customWidth="1"/>
    <col min="6656" max="6658" width="8.5703125" style="2" customWidth="1"/>
    <col min="6659" max="6665" width="9.5703125" style="2" customWidth="1"/>
    <col min="6666" max="6666" width="11.85546875" style="2" customWidth="1"/>
    <col min="6667" max="6668" width="11.7109375" style="2" customWidth="1"/>
    <col min="6669" max="6669" width="9.5703125" style="2" customWidth="1"/>
    <col min="6670" max="6670" width="8" style="2" customWidth="1"/>
    <col min="6671" max="6671" width="9.5703125" style="2" customWidth="1"/>
    <col min="6672" max="6672" width="8" style="2" customWidth="1"/>
    <col min="6673" max="6673" width="9.5703125" style="2" customWidth="1"/>
    <col min="6674" max="6674" width="7.28515625" style="2" customWidth="1"/>
    <col min="6675" max="6675" width="7.7109375" style="2" customWidth="1"/>
    <col min="6676" max="6676" width="9.5703125" style="2" customWidth="1"/>
    <col min="6677" max="6677" width="8.5703125" style="2" customWidth="1"/>
    <col min="6678" max="6678" width="8" style="2" customWidth="1"/>
    <col min="6679" max="6679" width="9.5703125" style="2" customWidth="1"/>
    <col min="6680" max="6680" width="8" style="2" customWidth="1"/>
    <col min="6681" max="6681" width="8.28515625" style="2" customWidth="1"/>
    <col min="6682" max="6683" width="8" style="2" customWidth="1"/>
    <col min="6684" max="6684" width="7.28515625" style="2" customWidth="1"/>
    <col min="6685" max="6686" width="9.5703125" style="2" customWidth="1"/>
    <col min="6687" max="6687" width="8" style="2" customWidth="1"/>
    <col min="6688" max="6690" width="9.5703125" style="2" customWidth="1"/>
    <col min="6691" max="6691" width="7.7109375" style="2" customWidth="1"/>
    <col min="6692" max="6692" width="8.28515625" style="2" customWidth="1"/>
    <col min="6693" max="6693" width="7.7109375" style="2" customWidth="1"/>
    <col min="6694" max="6695" width="8" style="2" customWidth="1"/>
    <col min="6696" max="6699" width="9.5703125" style="2" customWidth="1"/>
    <col min="6700" max="6700" width="8" style="2" customWidth="1"/>
    <col min="6701" max="6701" width="8.5703125" style="2" customWidth="1"/>
    <col min="6702" max="6702" width="9.5703125" style="2" customWidth="1"/>
    <col min="6703" max="6703" width="7.28515625" style="2" customWidth="1"/>
    <col min="6704" max="6704" width="7.7109375" style="2" customWidth="1"/>
    <col min="6705" max="6705" width="22.42578125" style="2" customWidth="1"/>
    <col min="6706" max="6706" width="20.7109375" style="2" customWidth="1"/>
    <col min="6707" max="6707" width="33.5703125" style="2" customWidth="1"/>
    <col min="6708" max="6708" width="22.85546875" style="2" customWidth="1"/>
    <col min="6709" max="6709" width="0" style="2" hidden="1" customWidth="1"/>
    <col min="6710" max="6710" width="19.5703125" style="2" customWidth="1"/>
    <col min="6711" max="6712" width="0" style="2" hidden="1" customWidth="1"/>
    <col min="6713" max="6899" width="10.7109375" style="2"/>
    <col min="6900" max="6900" width="9" style="2" customWidth="1"/>
    <col min="6901" max="6901" width="39.7109375" style="2" customWidth="1"/>
    <col min="6902" max="6902" width="17.28515625" style="2" customWidth="1"/>
    <col min="6903" max="6903" width="0" style="2" hidden="1" customWidth="1"/>
    <col min="6904" max="6904" width="7.42578125" style="2" customWidth="1"/>
    <col min="6905" max="6907" width="10.28515625" style="2" customWidth="1"/>
    <col min="6908" max="6908" width="13.5703125" style="2" customWidth="1"/>
    <col min="6909" max="6910" width="8.5703125" style="2" customWidth="1"/>
    <col min="6911" max="6911" width="9.5703125" style="2" customWidth="1"/>
    <col min="6912" max="6914" width="8.5703125" style="2" customWidth="1"/>
    <col min="6915" max="6921" width="9.5703125" style="2" customWidth="1"/>
    <col min="6922" max="6922" width="11.85546875" style="2" customWidth="1"/>
    <col min="6923" max="6924" width="11.7109375" style="2" customWidth="1"/>
    <col min="6925" max="6925" width="9.5703125" style="2" customWidth="1"/>
    <col min="6926" max="6926" width="8" style="2" customWidth="1"/>
    <col min="6927" max="6927" width="9.5703125" style="2" customWidth="1"/>
    <col min="6928" max="6928" width="8" style="2" customWidth="1"/>
    <col min="6929" max="6929" width="9.5703125" style="2" customWidth="1"/>
    <col min="6930" max="6930" width="7.28515625" style="2" customWidth="1"/>
    <col min="6931" max="6931" width="7.7109375" style="2" customWidth="1"/>
    <col min="6932" max="6932" width="9.5703125" style="2" customWidth="1"/>
    <col min="6933" max="6933" width="8.5703125" style="2" customWidth="1"/>
    <col min="6934" max="6934" width="8" style="2" customWidth="1"/>
    <col min="6935" max="6935" width="9.5703125" style="2" customWidth="1"/>
    <col min="6936" max="6936" width="8" style="2" customWidth="1"/>
    <col min="6937" max="6937" width="8.28515625" style="2" customWidth="1"/>
    <col min="6938" max="6939" width="8" style="2" customWidth="1"/>
    <col min="6940" max="6940" width="7.28515625" style="2" customWidth="1"/>
    <col min="6941" max="6942" width="9.5703125" style="2" customWidth="1"/>
    <col min="6943" max="6943" width="8" style="2" customWidth="1"/>
    <col min="6944" max="6946" width="9.5703125" style="2" customWidth="1"/>
    <col min="6947" max="6947" width="7.7109375" style="2" customWidth="1"/>
    <col min="6948" max="6948" width="8.28515625" style="2" customWidth="1"/>
    <col min="6949" max="6949" width="7.7109375" style="2" customWidth="1"/>
    <col min="6950" max="6951" width="8" style="2" customWidth="1"/>
    <col min="6952" max="6955" width="9.5703125" style="2" customWidth="1"/>
    <col min="6956" max="6956" width="8" style="2" customWidth="1"/>
    <col min="6957" max="6957" width="8.5703125" style="2" customWidth="1"/>
    <col min="6958" max="6958" width="9.5703125" style="2" customWidth="1"/>
    <col min="6959" max="6959" width="7.28515625" style="2" customWidth="1"/>
    <col min="6960" max="6960" width="7.7109375" style="2" customWidth="1"/>
    <col min="6961" max="6961" width="22.42578125" style="2" customWidth="1"/>
    <col min="6962" max="6962" width="20.7109375" style="2" customWidth="1"/>
    <col min="6963" max="6963" width="33.5703125" style="2" customWidth="1"/>
    <col min="6964" max="6964" width="22.85546875" style="2" customWidth="1"/>
    <col min="6965" max="6965" width="0" style="2" hidden="1" customWidth="1"/>
    <col min="6966" max="6966" width="19.5703125" style="2" customWidth="1"/>
    <col min="6967" max="6968" width="0" style="2" hidden="1" customWidth="1"/>
    <col min="6969" max="7155" width="10.7109375" style="2"/>
    <col min="7156" max="7156" width="9" style="2" customWidth="1"/>
    <col min="7157" max="7157" width="39.7109375" style="2" customWidth="1"/>
    <col min="7158" max="7158" width="17.28515625" style="2" customWidth="1"/>
    <col min="7159" max="7159" width="0" style="2" hidden="1" customWidth="1"/>
    <col min="7160" max="7160" width="7.42578125" style="2" customWidth="1"/>
    <col min="7161" max="7163" width="10.28515625" style="2" customWidth="1"/>
    <col min="7164" max="7164" width="13.5703125" style="2" customWidth="1"/>
    <col min="7165" max="7166" width="8.5703125" style="2" customWidth="1"/>
    <col min="7167" max="7167" width="9.5703125" style="2" customWidth="1"/>
    <col min="7168" max="7170" width="8.5703125" style="2" customWidth="1"/>
    <col min="7171" max="7177" width="9.5703125" style="2" customWidth="1"/>
    <col min="7178" max="7178" width="11.85546875" style="2" customWidth="1"/>
    <col min="7179" max="7180" width="11.7109375" style="2" customWidth="1"/>
    <col min="7181" max="7181" width="9.5703125" style="2" customWidth="1"/>
    <col min="7182" max="7182" width="8" style="2" customWidth="1"/>
    <col min="7183" max="7183" width="9.5703125" style="2" customWidth="1"/>
    <col min="7184" max="7184" width="8" style="2" customWidth="1"/>
    <col min="7185" max="7185" width="9.5703125" style="2" customWidth="1"/>
    <col min="7186" max="7186" width="7.28515625" style="2" customWidth="1"/>
    <col min="7187" max="7187" width="7.7109375" style="2" customWidth="1"/>
    <col min="7188" max="7188" width="9.5703125" style="2" customWidth="1"/>
    <col min="7189" max="7189" width="8.5703125" style="2" customWidth="1"/>
    <col min="7190" max="7190" width="8" style="2" customWidth="1"/>
    <col min="7191" max="7191" width="9.5703125" style="2" customWidth="1"/>
    <col min="7192" max="7192" width="8" style="2" customWidth="1"/>
    <col min="7193" max="7193" width="8.28515625" style="2" customWidth="1"/>
    <col min="7194" max="7195" width="8" style="2" customWidth="1"/>
    <col min="7196" max="7196" width="7.28515625" style="2" customWidth="1"/>
    <col min="7197" max="7198" width="9.5703125" style="2" customWidth="1"/>
    <col min="7199" max="7199" width="8" style="2" customWidth="1"/>
    <col min="7200" max="7202" width="9.5703125" style="2" customWidth="1"/>
    <col min="7203" max="7203" width="7.7109375" style="2" customWidth="1"/>
    <col min="7204" max="7204" width="8.28515625" style="2" customWidth="1"/>
    <col min="7205" max="7205" width="7.7109375" style="2" customWidth="1"/>
    <col min="7206" max="7207" width="8" style="2" customWidth="1"/>
    <col min="7208" max="7211" width="9.5703125" style="2" customWidth="1"/>
    <col min="7212" max="7212" width="8" style="2" customWidth="1"/>
    <col min="7213" max="7213" width="8.5703125" style="2" customWidth="1"/>
    <col min="7214" max="7214" width="9.5703125" style="2" customWidth="1"/>
    <col min="7215" max="7215" width="7.28515625" style="2" customWidth="1"/>
    <col min="7216" max="7216" width="7.7109375" style="2" customWidth="1"/>
    <col min="7217" max="7217" width="22.42578125" style="2" customWidth="1"/>
    <col min="7218" max="7218" width="20.7109375" style="2" customWidth="1"/>
    <col min="7219" max="7219" width="33.5703125" style="2" customWidth="1"/>
    <col min="7220" max="7220" width="22.85546875" style="2" customWidth="1"/>
    <col min="7221" max="7221" width="0" style="2" hidden="1" customWidth="1"/>
    <col min="7222" max="7222" width="19.5703125" style="2" customWidth="1"/>
    <col min="7223" max="7224" width="0" style="2" hidden="1" customWidth="1"/>
    <col min="7225" max="7411" width="10.7109375" style="2"/>
    <col min="7412" max="7412" width="9" style="2" customWidth="1"/>
    <col min="7413" max="7413" width="39.7109375" style="2" customWidth="1"/>
    <col min="7414" max="7414" width="17.28515625" style="2" customWidth="1"/>
    <col min="7415" max="7415" width="0" style="2" hidden="1" customWidth="1"/>
    <col min="7416" max="7416" width="7.42578125" style="2" customWidth="1"/>
    <col min="7417" max="7419" width="10.28515625" style="2" customWidth="1"/>
    <col min="7420" max="7420" width="13.5703125" style="2" customWidth="1"/>
    <col min="7421" max="7422" width="8.5703125" style="2" customWidth="1"/>
    <col min="7423" max="7423" width="9.5703125" style="2" customWidth="1"/>
    <col min="7424" max="7426" width="8.5703125" style="2" customWidth="1"/>
    <col min="7427" max="7433" width="9.5703125" style="2" customWidth="1"/>
    <col min="7434" max="7434" width="11.85546875" style="2" customWidth="1"/>
    <col min="7435" max="7436" width="11.7109375" style="2" customWidth="1"/>
    <col min="7437" max="7437" width="9.5703125" style="2" customWidth="1"/>
    <col min="7438" max="7438" width="8" style="2" customWidth="1"/>
    <col min="7439" max="7439" width="9.5703125" style="2" customWidth="1"/>
    <col min="7440" max="7440" width="8" style="2" customWidth="1"/>
    <col min="7441" max="7441" width="9.5703125" style="2" customWidth="1"/>
    <col min="7442" max="7442" width="7.28515625" style="2" customWidth="1"/>
    <col min="7443" max="7443" width="7.7109375" style="2" customWidth="1"/>
    <col min="7444" max="7444" width="9.5703125" style="2" customWidth="1"/>
    <col min="7445" max="7445" width="8.5703125" style="2" customWidth="1"/>
    <col min="7446" max="7446" width="8" style="2" customWidth="1"/>
    <col min="7447" max="7447" width="9.5703125" style="2" customWidth="1"/>
    <col min="7448" max="7448" width="8" style="2" customWidth="1"/>
    <col min="7449" max="7449" width="8.28515625" style="2" customWidth="1"/>
    <col min="7450" max="7451" width="8" style="2" customWidth="1"/>
    <col min="7452" max="7452" width="7.28515625" style="2" customWidth="1"/>
    <col min="7453" max="7454" width="9.5703125" style="2" customWidth="1"/>
    <col min="7455" max="7455" width="8" style="2" customWidth="1"/>
    <col min="7456" max="7458" width="9.5703125" style="2" customWidth="1"/>
    <col min="7459" max="7459" width="7.7109375" style="2" customWidth="1"/>
    <col min="7460" max="7460" width="8.28515625" style="2" customWidth="1"/>
    <col min="7461" max="7461" width="7.7109375" style="2" customWidth="1"/>
    <col min="7462" max="7463" width="8" style="2" customWidth="1"/>
    <col min="7464" max="7467" width="9.5703125" style="2" customWidth="1"/>
    <col min="7468" max="7468" width="8" style="2" customWidth="1"/>
    <col min="7469" max="7469" width="8.5703125" style="2" customWidth="1"/>
    <col min="7470" max="7470" width="9.5703125" style="2" customWidth="1"/>
    <col min="7471" max="7471" width="7.28515625" style="2" customWidth="1"/>
    <col min="7472" max="7472" width="7.7109375" style="2" customWidth="1"/>
    <col min="7473" max="7473" width="22.42578125" style="2" customWidth="1"/>
    <col min="7474" max="7474" width="20.7109375" style="2" customWidth="1"/>
    <col min="7475" max="7475" width="33.5703125" style="2" customWidth="1"/>
    <col min="7476" max="7476" width="22.85546875" style="2" customWidth="1"/>
    <col min="7477" max="7477" width="0" style="2" hidden="1" customWidth="1"/>
    <col min="7478" max="7478" width="19.5703125" style="2" customWidth="1"/>
    <col min="7479" max="7480" width="0" style="2" hidden="1" customWidth="1"/>
    <col min="7481" max="7667" width="10.7109375" style="2"/>
    <col min="7668" max="7668" width="9" style="2" customWidth="1"/>
    <col min="7669" max="7669" width="39.7109375" style="2" customWidth="1"/>
    <col min="7670" max="7670" width="17.28515625" style="2" customWidth="1"/>
    <col min="7671" max="7671" width="0" style="2" hidden="1" customWidth="1"/>
    <col min="7672" max="7672" width="7.42578125" style="2" customWidth="1"/>
    <col min="7673" max="7675" width="10.28515625" style="2" customWidth="1"/>
    <col min="7676" max="7676" width="13.5703125" style="2" customWidth="1"/>
    <col min="7677" max="7678" width="8.5703125" style="2" customWidth="1"/>
    <col min="7679" max="7679" width="9.5703125" style="2" customWidth="1"/>
    <col min="7680" max="7682" width="8.5703125" style="2" customWidth="1"/>
    <col min="7683" max="7689" width="9.5703125" style="2" customWidth="1"/>
    <col min="7690" max="7690" width="11.85546875" style="2" customWidth="1"/>
    <col min="7691" max="7692" width="11.7109375" style="2" customWidth="1"/>
    <col min="7693" max="7693" width="9.5703125" style="2" customWidth="1"/>
    <col min="7694" max="7694" width="8" style="2" customWidth="1"/>
    <col min="7695" max="7695" width="9.5703125" style="2" customWidth="1"/>
    <col min="7696" max="7696" width="8" style="2" customWidth="1"/>
    <col min="7697" max="7697" width="9.5703125" style="2" customWidth="1"/>
    <col min="7698" max="7698" width="7.28515625" style="2" customWidth="1"/>
    <col min="7699" max="7699" width="7.7109375" style="2" customWidth="1"/>
    <col min="7700" max="7700" width="9.5703125" style="2" customWidth="1"/>
    <col min="7701" max="7701" width="8.5703125" style="2" customWidth="1"/>
    <col min="7702" max="7702" width="8" style="2" customWidth="1"/>
    <col min="7703" max="7703" width="9.5703125" style="2" customWidth="1"/>
    <col min="7704" max="7704" width="8" style="2" customWidth="1"/>
    <col min="7705" max="7705" width="8.28515625" style="2" customWidth="1"/>
    <col min="7706" max="7707" width="8" style="2" customWidth="1"/>
    <col min="7708" max="7708" width="7.28515625" style="2" customWidth="1"/>
    <col min="7709" max="7710" width="9.5703125" style="2" customWidth="1"/>
    <col min="7711" max="7711" width="8" style="2" customWidth="1"/>
    <col min="7712" max="7714" width="9.5703125" style="2" customWidth="1"/>
    <col min="7715" max="7715" width="7.7109375" style="2" customWidth="1"/>
    <col min="7716" max="7716" width="8.28515625" style="2" customWidth="1"/>
    <col min="7717" max="7717" width="7.7109375" style="2" customWidth="1"/>
    <col min="7718" max="7719" width="8" style="2" customWidth="1"/>
    <col min="7720" max="7723" width="9.5703125" style="2" customWidth="1"/>
    <col min="7724" max="7724" width="8" style="2" customWidth="1"/>
    <col min="7725" max="7725" width="8.5703125" style="2" customWidth="1"/>
    <col min="7726" max="7726" width="9.5703125" style="2" customWidth="1"/>
    <col min="7727" max="7727" width="7.28515625" style="2" customWidth="1"/>
    <col min="7728" max="7728" width="7.7109375" style="2" customWidth="1"/>
    <col min="7729" max="7729" width="22.42578125" style="2" customWidth="1"/>
    <col min="7730" max="7730" width="20.7109375" style="2" customWidth="1"/>
    <col min="7731" max="7731" width="33.5703125" style="2" customWidth="1"/>
    <col min="7732" max="7732" width="22.85546875" style="2" customWidth="1"/>
    <col min="7733" max="7733" width="0" style="2" hidden="1" customWidth="1"/>
    <col min="7734" max="7734" width="19.5703125" style="2" customWidth="1"/>
    <col min="7735" max="7736" width="0" style="2" hidden="1" customWidth="1"/>
    <col min="7737" max="7923" width="10.7109375" style="2"/>
    <col min="7924" max="7924" width="9" style="2" customWidth="1"/>
    <col min="7925" max="7925" width="39.7109375" style="2" customWidth="1"/>
    <col min="7926" max="7926" width="17.28515625" style="2" customWidth="1"/>
    <col min="7927" max="7927" width="0" style="2" hidden="1" customWidth="1"/>
    <col min="7928" max="7928" width="7.42578125" style="2" customWidth="1"/>
    <col min="7929" max="7931" width="10.28515625" style="2" customWidth="1"/>
    <col min="7932" max="7932" width="13.5703125" style="2" customWidth="1"/>
    <col min="7933" max="7934" width="8.5703125" style="2" customWidth="1"/>
    <col min="7935" max="7935" width="9.5703125" style="2" customWidth="1"/>
    <col min="7936" max="7938" width="8.5703125" style="2" customWidth="1"/>
    <col min="7939" max="7945" width="9.5703125" style="2" customWidth="1"/>
    <col min="7946" max="7946" width="11.85546875" style="2" customWidth="1"/>
    <col min="7947" max="7948" width="11.7109375" style="2" customWidth="1"/>
    <col min="7949" max="7949" width="9.5703125" style="2" customWidth="1"/>
    <col min="7950" max="7950" width="8" style="2" customWidth="1"/>
    <col min="7951" max="7951" width="9.5703125" style="2" customWidth="1"/>
    <col min="7952" max="7952" width="8" style="2" customWidth="1"/>
    <col min="7953" max="7953" width="9.5703125" style="2" customWidth="1"/>
    <col min="7954" max="7954" width="7.28515625" style="2" customWidth="1"/>
    <col min="7955" max="7955" width="7.7109375" style="2" customWidth="1"/>
    <col min="7956" max="7956" width="9.5703125" style="2" customWidth="1"/>
    <col min="7957" max="7957" width="8.5703125" style="2" customWidth="1"/>
    <col min="7958" max="7958" width="8" style="2" customWidth="1"/>
    <col min="7959" max="7959" width="9.5703125" style="2" customWidth="1"/>
    <col min="7960" max="7960" width="8" style="2" customWidth="1"/>
    <col min="7961" max="7961" width="8.28515625" style="2" customWidth="1"/>
    <col min="7962" max="7963" width="8" style="2" customWidth="1"/>
    <col min="7964" max="7964" width="7.28515625" style="2" customWidth="1"/>
    <col min="7965" max="7966" width="9.5703125" style="2" customWidth="1"/>
    <col min="7967" max="7967" width="8" style="2" customWidth="1"/>
    <col min="7968" max="7970" width="9.5703125" style="2" customWidth="1"/>
    <col min="7971" max="7971" width="7.7109375" style="2" customWidth="1"/>
    <col min="7972" max="7972" width="8.28515625" style="2" customWidth="1"/>
    <col min="7973" max="7973" width="7.7109375" style="2" customWidth="1"/>
    <col min="7974" max="7975" width="8" style="2" customWidth="1"/>
    <col min="7976" max="7979" width="9.5703125" style="2" customWidth="1"/>
    <col min="7980" max="7980" width="8" style="2" customWidth="1"/>
    <col min="7981" max="7981" width="8.5703125" style="2" customWidth="1"/>
    <col min="7982" max="7982" width="9.5703125" style="2" customWidth="1"/>
    <col min="7983" max="7983" width="7.28515625" style="2" customWidth="1"/>
    <col min="7984" max="7984" width="7.7109375" style="2" customWidth="1"/>
    <col min="7985" max="7985" width="22.42578125" style="2" customWidth="1"/>
    <col min="7986" max="7986" width="20.7109375" style="2" customWidth="1"/>
    <col min="7987" max="7987" width="33.5703125" style="2" customWidth="1"/>
    <col min="7988" max="7988" width="22.85546875" style="2" customWidth="1"/>
    <col min="7989" max="7989" width="0" style="2" hidden="1" customWidth="1"/>
    <col min="7990" max="7990" width="19.5703125" style="2" customWidth="1"/>
    <col min="7991" max="7992" width="0" style="2" hidden="1" customWidth="1"/>
    <col min="7993" max="8179" width="10.7109375" style="2"/>
    <col min="8180" max="8180" width="9" style="2" customWidth="1"/>
    <col min="8181" max="8181" width="39.7109375" style="2" customWidth="1"/>
    <col min="8182" max="8182" width="17.28515625" style="2" customWidth="1"/>
    <col min="8183" max="8183" width="0" style="2" hidden="1" customWidth="1"/>
    <col min="8184" max="8184" width="7.42578125" style="2" customWidth="1"/>
    <col min="8185" max="8187" width="10.28515625" style="2" customWidth="1"/>
    <col min="8188" max="8188" width="13.5703125" style="2" customWidth="1"/>
    <col min="8189" max="8190" width="8.5703125" style="2" customWidth="1"/>
    <col min="8191" max="8191" width="9.5703125" style="2" customWidth="1"/>
    <col min="8192" max="8194" width="8.5703125" style="2" customWidth="1"/>
    <col min="8195" max="8201" width="9.5703125" style="2" customWidth="1"/>
    <col min="8202" max="8202" width="11.85546875" style="2" customWidth="1"/>
    <col min="8203" max="8204" width="11.7109375" style="2" customWidth="1"/>
    <col min="8205" max="8205" width="9.5703125" style="2" customWidth="1"/>
    <col min="8206" max="8206" width="8" style="2" customWidth="1"/>
    <col min="8207" max="8207" width="9.5703125" style="2" customWidth="1"/>
    <col min="8208" max="8208" width="8" style="2" customWidth="1"/>
    <col min="8209" max="8209" width="9.5703125" style="2" customWidth="1"/>
    <col min="8210" max="8210" width="7.28515625" style="2" customWidth="1"/>
    <col min="8211" max="8211" width="7.7109375" style="2" customWidth="1"/>
    <col min="8212" max="8212" width="9.5703125" style="2" customWidth="1"/>
    <col min="8213" max="8213" width="8.5703125" style="2" customWidth="1"/>
    <col min="8214" max="8214" width="8" style="2" customWidth="1"/>
    <col min="8215" max="8215" width="9.5703125" style="2" customWidth="1"/>
    <col min="8216" max="8216" width="8" style="2" customWidth="1"/>
    <col min="8217" max="8217" width="8.28515625" style="2" customWidth="1"/>
    <col min="8218" max="8219" width="8" style="2" customWidth="1"/>
    <col min="8220" max="8220" width="7.28515625" style="2" customWidth="1"/>
    <col min="8221" max="8222" width="9.5703125" style="2" customWidth="1"/>
    <col min="8223" max="8223" width="8" style="2" customWidth="1"/>
    <col min="8224" max="8226" width="9.5703125" style="2" customWidth="1"/>
    <col min="8227" max="8227" width="7.7109375" style="2" customWidth="1"/>
    <col min="8228" max="8228" width="8.28515625" style="2" customWidth="1"/>
    <col min="8229" max="8229" width="7.7109375" style="2" customWidth="1"/>
    <col min="8230" max="8231" width="8" style="2" customWidth="1"/>
    <col min="8232" max="8235" width="9.5703125" style="2" customWidth="1"/>
    <col min="8236" max="8236" width="8" style="2" customWidth="1"/>
    <col min="8237" max="8237" width="8.5703125" style="2" customWidth="1"/>
    <col min="8238" max="8238" width="9.5703125" style="2" customWidth="1"/>
    <col min="8239" max="8239" width="7.28515625" style="2" customWidth="1"/>
    <col min="8240" max="8240" width="7.7109375" style="2" customWidth="1"/>
    <col min="8241" max="8241" width="22.42578125" style="2" customWidth="1"/>
    <col min="8242" max="8242" width="20.7109375" style="2" customWidth="1"/>
    <col min="8243" max="8243" width="33.5703125" style="2" customWidth="1"/>
    <col min="8244" max="8244" width="22.85546875" style="2" customWidth="1"/>
    <col min="8245" max="8245" width="0" style="2" hidden="1" customWidth="1"/>
    <col min="8246" max="8246" width="19.5703125" style="2" customWidth="1"/>
    <col min="8247" max="8248" width="0" style="2" hidden="1" customWidth="1"/>
    <col min="8249" max="8435" width="10.7109375" style="2"/>
    <col min="8436" max="8436" width="9" style="2" customWidth="1"/>
    <col min="8437" max="8437" width="39.7109375" style="2" customWidth="1"/>
    <col min="8438" max="8438" width="17.28515625" style="2" customWidth="1"/>
    <col min="8439" max="8439" width="0" style="2" hidden="1" customWidth="1"/>
    <col min="8440" max="8440" width="7.42578125" style="2" customWidth="1"/>
    <col min="8441" max="8443" width="10.28515625" style="2" customWidth="1"/>
    <col min="8444" max="8444" width="13.5703125" style="2" customWidth="1"/>
    <col min="8445" max="8446" width="8.5703125" style="2" customWidth="1"/>
    <col min="8447" max="8447" width="9.5703125" style="2" customWidth="1"/>
    <col min="8448" max="8450" width="8.5703125" style="2" customWidth="1"/>
    <col min="8451" max="8457" width="9.5703125" style="2" customWidth="1"/>
    <col min="8458" max="8458" width="11.85546875" style="2" customWidth="1"/>
    <col min="8459" max="8460" width="11.7109375" style="2" customWidth="1"/>
    <col min="8461" max="8461" width="9.5703125" style="2" customWidth="1"/>
    <col min="8462" max="8462" width="8" style="2" customWidth="1"/>
    <col min="8463" max="8463" width="9.5703125" style="2" customWidth="1"/>
    <col min="8464" max="8464" width="8" style="2" customWidth="1"/>
    <col min="8465" max="8465" width="9.5703125" style="2" customWidth="1"/>
    <col min="8466" max="8466" width="7.28515625" style="2" customWidth="1"/>
    <col min="8467" max="8467" width="7.7109375" style="2" customWidth="1"/>
    <col min="8468" max="8468" width="9.5703125" style="2" customWidth="1"/>
    <col min="8469" max="8469" width="8.5703125" style="2" customWidth="1"/>
    <col min="8470" max="8470" width="8" style="2" customWidth="1"/>
    <col min="8471" max="8471" width="9.5703125" style="2" customWidth="1"/>
    <col min="8472" max="8472" width="8" style="2" customWidth="1"/>
    <col min="8473" max="8473" width="8.28515625" style="2" customWidth="1"/>
    <col min="8474" max="8475" width="8" style="2" customWidth="1"/>
    <col min="8476" max="8476" width="7.28515625" style="2" customWidth="1"/>
    <col min="8477" max="8478" width="9.5703125" style="2" customWidth="1"/>
    <col min="8479" max="8479" width="8" style="2" customWidth="1"/>
    <col min="8480" max="8482" width="9.5703125" style="2" customWidth="1"/>
    <col min="8483" max="8483" width="7.7109375" style="2" customWidth="1"/>
    <col min="8484" max="8484" width="8.28515625" style="2" customWidth="1"/>
    <col min="8485" max="8485" width="7.7109375" style="2" customWidth="1"/>
    <col min="8486" max="8487" width="8" style="2" customWidth="1"/>
    <col min="8488" max="8491" width="9.5703125" style="2" customWidth="1"/>
    <col min="8492" max="8492" width="8" style="2" customWidth="1"/>
    <col min="8493" max="8493" width="8.5703125" style="2" customWidth="1"/>
    <col min="8494" max="8494" width="9.5703125" style="2" customWidth="1"/>
    <col min="8495" max="8495" width="7.28515625" style="2" customWidth="1"/>
    <col min="8496" max="8496" width="7.7109375" style="2" customWidth="1"/>
    <col min="8497" max="8497" width="22.42578125" style="2" customWidth="1"/>
    <col min="8498" max="8498" width="20.7109375" style="2" customWidth="1"/>
    <col min="8499" max="8499" width="33.5703125" style="2" customWidth="1"/>
    <col min="8500" max="8500" width="22.85546875" style="2" customWidth="1"/>
    <col min="8501" max="8501" width="0" style="2" hidden="1" customWidth="1"/>
    <col min="8502" max="8502" width="19.5703125" style="2" customWidth="1"/>
    <col min="8503" max="8504" width="0" style="2" hidden="1" customWidth="1"/>
    <col min="8505" max="8691" width="10.7109375" style="2"/>
    <col min="8692" max="8692" width="9" style="2" customWidth="1"/>
    <col min="8693" max="8693" width="39.7109375" style="2" customWidth="1"/>
    <col min="8694" max="8694" width="17.28515625" style="2" customWidth="1"/>
    <col min="8695" max="8695" width="0" style="2" hidden="1" customWidth="1"/>
    <col min="8696" max="8696" width="7.42578125" style="2" customWidth="1"/>
    <col min="8697" max="8699" width="10.28515625" style="2" customWidth="1"/>
    <col min="8700" max="8700" width="13.5703125" style="2" customWidth="1"/>
    <col min="8701" max="8702" width="8.5703125" style="2" customWidth="1"/>
    <col min="8703" max="8703" width="9.5703125" style="2" customWidth="1"/>
    <col min="8704" max="8706" width="8.5703125" style="2" customWidth="1"/>
    <col min="8707" max="8713" width="9.5703125" style="2" customWidth="1"/>
    <col min="8714" max="8714" width="11.85546875" style="2" customWidth="1"/>
    <col min="8715" max="8716" width="11.7109375" style="2" customWidth="1"/>
    <col min="8717" max="8717" width="9.5703125" style="2" customWidth="1"/>
    <col min="8718" max="8718" width="8" style="2" customWidth="1"/>
    <col min="8719" max="8719" width="9.5703125" style="2" customWidth="1"/>
    <col min="8720" max="8720" width="8" style="2" customWidth="1"/>
    <col min="8721" max="8721" width="9.5703125" style="2" customWidth="1"/>
    <col min="8722" max="8722" width="7.28515625" style="2" customWidth="1"/>
    <col min="8723" max="8723" width="7.7109375" style="2" customWidth="1"/>
    <col min="8724" max="8724" width="9.5703125" style="2" customWidth="1"/>
    <col min="8725" max="8725" width="8.5703125" style="2" customWidth="1"/>
    <col min="8726" max="8726" width="8" style="2" customWidth="1"/>
    <col min="8727" max="8727" width="9.5703125" style="2" customWidth="1"/>
    <col min="8728" max="8728" width="8" style="2" customWidth="1"/>
    <col min="8729" max="8729" width="8.28515625" style="2" customWidth="1"/>
    <col min="8730" max="8731" width="8" style="2" customWidth="1"/>
    <col min="8732" max="8732" width="7.28515625" style="2" customWidth="1"/>
    <col min="8733" max="8734" width="9.5703125" style="2" customWidth="1"/>
    <col min="8735" max="8735" width="8" style="2" customWidth="1"/>
    <col min="8736" max="8738" width="9.5703125" style="2" customWidth="1"/>
    <col min="8739" max="8739" width="7.7109375" style="2" customWidth="1"/>
    <col min="8740" max="8740" width="8.28515625" style="2" customWidth="1"/>
    <col min="8741" max="8741" width="7.7109375" style="2" customWidth="1"/>
    <col min="8742" max="8743" width="8" style="2" customWidth="1"/>
    <col min="8744" max="8747" width="9.5703125" style="2" customWidth="1"/>
    <col min="8748" max="8748" width="8" style="2" customWidth="1"/>
    <col min="8749" max="8749" width="8.5703125" style="2" customWidth="1"/>
    <col min="8750" max="8750" width="9.5703125" style="2" customWidth="1"/>
    <col min="8751" max="8751" width="7.28515625" style="2" customWidth="1"/>
    <col min="8752" max="8752" width="7.7109375" style="2" customWidth="1"/>
    <col min="8753" max="8753" width="22.42578125" style="2" customWidth="1"/>
    <col min="8754" max="8754" width="20.7109375" style="2" customWidth="1"/>
    <col min="8755" max="8755" width="33.5703125" style="2" customWidth="1"/>
    <col min="8756" max="8756" width="22.85546875" style="2" customWidth="1"/>
    <col min="8757" max="8757" width="0" style="2" hidden="1" customWidth="1"/>
    <col min="8758" max="8758" width="19.5703125" style="2" customWidth="1"/>
    <col min="8759" max="8760" width="0" style="2" hidden="1" customWidth="1"/>
    <col min="8761" max="8947" width="10.7109375" style="2"/>
    <col min="8948" max="8948" width="9" style="2" customWidth="1"/>
    <col min="8949" max="8949" width="39.7109375" style="2" customWidth="1"/>
    <col min="8950" max="8950" width="17.28515625" style="2" customWidth="1"/>
    <col min="8951" max="8951" width="0" style="2" hidden="1" customWidth="1"/>
    <col min="8952" max="8952" width="7.42578125" style="2" customWidth="1"/>
    <col min="8953" max="8955" width="10.28515625" style="2" customWidth="1"/>
    <col min="8956" max="8956" width="13.5703125" style="2" customWidth="1"/>
    <col min="8957" max="8958" width="8.5703125" style="2" customWidth="1"/>
    <col min="8959" max="8959" width="9.5703125" style="2" customWidth="1"/>
    <col min="8960" max="8962" width="8.5703125" style="2" customWidth="1"/>
    <col min="8963" max="8969" width="9.5703125" style="2" customWidth="1"/>
    <col min="8970" max="8970" width="11.85546875" style="2" customWidth="1"/>
    <col min="8971" max="8972" width="11.7109375" style="2" customWidth="1"/>
    <col min="8973" max="8973" width="9.5703125" style="2" customWidth="1"/>
    <col min="8974" max="8974" width="8" style="2" customWidth="1"/>
    <col min="8975" max="8975" width="9.5703125" style="2" customWidth="1"/>
    <col min="8976" max="8976" width="8" style="2" customWidth="1"/>
    <col min="8977" max="8977" width="9.5703125" style="2" customWidth="1"/>
    <col min="8978" max="8978" width="7.28515625" style="2" customWidth="1"/>
    <col min="8979" max="8979" width="7.7109375" style="2" customWidth="1"/>
    <col min="8980" max="8980" width="9.5703125" style="2" customWidth="1"/>
    <col min="8981" max="8981" width="8.5703125" style="2" customWidth="1"/>
    <col min="8982" max="8982" width="8" style="2" customWidth="1"/>
    <col min="8983" max="8983" width="9.5703125" style="2" customWidth="1"/>
    <col min="8984" max="8984" width="8" style="2" customWidth="1"/>
    <col min="8985" max="8985" width="8.28515625" style="2" customWidth="1"/>
    <col min="8986" max="8987" width="8" style="2" customWidth="1"/>
    <col min="8988" max="8988" width="7.28515625" style="2" customWidth="1"/>
    <col min="8989" max="8990" width="9.5703125" style="2" customWidth="1"/>
    <col min="8991" max="8991" width="8" style="2" customWidth="1"/>
    <col min="8992" max="8994" width="9.5703125" style="2" customWidth="1"/>
    <col min="8995" max="8995" width="7.7109375" style="2" customWidth="1"/>
    <col min="8996" max="8996" width="8.28515625" style="2" customWidth="1"/>
    <col min="8997" max="8997" width="7.7109375" style="2" customWidth="1"/>
    <col min="8998" max="8999" width="8" style="2" customWidth="1"/>
    <col min="9000" max="9003" width="9.5703125" style="2" customWidth="1"/>
    <col min="9004" max="9004" width="8" style="2" customWidth="1"/>
    <col min="9005" max="9005" width="8.5703125" style="2" customWidth="1"/>
    <col min="9006" max="9006" width="9.5703125" style="2" customWidth="1"/>
    <col min="9007" max="9007" width="7.28515625" style="2" customWidth="1"/>
    <col min="9008" max="9008" width="7.7109375" style="2" customWidth="1"/>
    <col min="9009" max="9009" width="22.42578125" style="2" customWidth="1"/>
    <col min="9010" max="9010" width="20.7109375" style="2" customWidth="1"/>
    <col min="9011" max="9011" width="33.5703125" style="2" customWidth="1"/>
    <col min="9012" max="9012" width="22.85546875" style="2" customWidth="1"/>
    <col min="9013" max="9013" width="0" style="2" hidden="1" customWidth="1"/>
    <col min="9014" max="9014" width="19.5703125" style="2" customWidth="1"/>
    <col min="9015" max="9016" width="0" style="2" hidden="1" customWidth="1"/>
    <col min="9017" max="9203" width="10.7109375" style="2"/>
    <col min="9204" max="9204" width="9" style="2" customWidth="1"/>
    <col min="9205" max="9205" width="39.7109375" style="2" customWidth="1"/>
    <col min="9206" max="9206" width="17.28515625" style="2" customWidth="1"/>
    <col min="9207" max="9207" width="0" style="2" hidden="1" customWidth="1"/>
    <col min="9208" max="9208" width="7.42578125" style="2" customWidth="1"/>
    <col min="9209" max="9211" width="10.28515625" style="2" customWidth="1"/>
    <col min="9212" max="9212" width="13.5703125" style="2" customWidth="1"/>
    <col min="9213" max="9214" width="8.5703125" style="2" customWidth="1"/>
    <col min="9215" max="9215" width="9.5703125" style="2" customWidth="1"/>
    <col min="9216" max="9218" width="8.5703125" style="2" customWidth="1"/>
    <col min="9219" max="9225" width="9.5703125" style="2" customWidth="1"/>
    <col min="9226" max="9226" width="11.85546875" style="2" customWidth="1"/>
    <col min="9227" max="9228" width="11.7109375" style="2" customWidth="1"/>
    <col min="9229" max="9229" width="9.5703125" style="2" customWidth="1"/>
    <col min="9230" max="9230" width="8" style="2" customWidth="1"/>
    <col min="9231" max="9231" width="9.5703125" style="2" customWidth="1"/>
    <col min="9232" max="9232" width="8" style="2" customWidth="1"/>
    <col min="9233" max="9233" width="9.5703125" style="2" customWidth="1"/>
    <col min="9234" max="9234" width="7.28515625" style="2" customWidth="1"/>
    <col min="9235" max="9235" width="7.7109375" style="2" customWidth="1"/>
    <col min="9236" max="9236" width="9.5703125" style="2" customWidth="1"/>
    <col min="9237" max="9237" width="8.5703125" style="2" customWidth="1"/>
    <col min="9238" max="9238" width="8" style="2" customWidth="1"/>
    <col min="9239" max="9239" width="9.5703125" style="2" customWidth="1"/>
    <col min="9240" max="9240" width="8" style="2" customWidth="1"/>
    <col min="9241" max="9241" width="8.28515625" style="2" customWidth="1"/>
    <col min="9242" max="9243" width="8" style="2" customWidth="1"/>
    <col min="9244" max="9244" width="7.28515625" style="2" customWidth="1"/>
    <col min="9245" max="9246" width="9.5703125" style="2" customWidth="1"/>
    <col min="9247" max="9247" width="8" style="2" customWidth="1"/>
    <col min="9248" max="9250" width="9.5703125" style="2" customWidth="1"/>
    <col min="9251" max="9251" width="7.7109375" style="2" customWidth="1"/>
    <col min="9252" max="9252" width="8.28515625" style="2" customWidth="1"/>
    <col min="9253" max="9253" width="7.7109375" style="2" customWidth="1"/>
    <col min="9254" max="9255" width="8" style="2" customWidth="1"/>
    <col min="9256" max="9259" width="9.5703125" style="2" customWidth="1"/>
    <col min="9260" max="9260" width="8" style="2" customWidth="1"/>
    <col min="9261" max="9261" width="8.5703125" style="2" customWidth="1"/>
    <col min="9262" max="9262" width="9.5703125" style="2" customWidth="1"/>
    <col min="9263" max="9263" width="7.28515625" style="2" customWidth="1"/>
    <col min="9264" max="9264" width="7.7109375" style="2" customWidth="1"/>
    <col min="9265" max="9265" width="22.42578125" style="2" customWidth="1"/>
    <col min="9266" max="9266" width="20.7109375" style="2" customWidth="1"/>
    <col min="9267" max="9267" width="33.5703125" style="2" customWidth="1"/>
    <col min="9268" max="9268" width="22.85546875" style="2" customWidth="1"/>
    <col min="9269" max="9269" width="0" style="2" hidden="1" customWidth="1"/>
    <col min="9270" max="9270" width="19.5703125" style="2" customWidth="1"/>
    <col min="9271" max="9272" width="0" style="2" hidden="1" customWidth="1"/>
    <col min="9273" max="9459" width="10.7109375" style="2"/>
    <col min="9460" max="9460" width="9" style="2" customWidth="1"/>
    <col min="9461" max="9461" width="39.7109375" style="2" customWidth="1"/>
    <col min="9462" max="9462" width="17.28515625" style="2" customWidth="1"/>
    <col min="9463" max="9463" width="0" style="2" hidden="1" customWidth="1"/>
    <col min="9464" max="9464" width="7.42578125" style="2" customWidth="1"/>
    <col min="9465" max="9467" width="10.28515625" style="2" customWidth="1"/>
    <col min="9468" max="9468" width="13.5703125" style="2" customWidth="1"/>
    <col min="9469" max="9470" width="8.5703125" style="2" customWidth="1"/>
    <col min="9471" max="9471" width="9.5703125" style="2" customWidth="1"/>
    <col min="9472" max="9474" width="8.5703125" style="2" customWidth="1"/>
    <col min="9475" max="9481" width="9.5703125" style="2" customWidth="1"/>
    <col min="9482" max="9482" width="11.85546875" style="2" customWidth="1"/>
    <col min="9483" max="9484" width="11.7109375" style="2" customWidth="1"/>
    <col min="9485" max="9485" width="9.5703125" style="2" customWidth="1"/>
    <col min="9486" max="9486" width="8" style="2" customWidth="1"/>
    <col min="9487" max="9487" width="9.5703125" style="2" customWidth="1"/>
    <col min="9488" max="9488" width="8" style="2" customWidth="1"/>
    <col min="9489" max="9489" width="9.5703125" style="2" customWidth="1"/>
    <col min="9490" max="9490" width="7.28515625" style="2" customWidth="1"/>
    <col min="9491" max="9491" width="7.7109375" style="2" customWidth="1"/>
    <col min="9492" max="9492" width="9.5703125" style="2" customWidth="1"/>
    <col min="9493" max="9493" width="8.5703125" style="2" customWidth="1"/>
    <col min="9494" max="9494" width="8" style="2" customWidth="1"/>
    <col min="9495" max="9495" width="9.5703125" style="2" customWidth="1"/>
    <col min="9496" max="9496" width="8" style="2" customWidth="1"/>
    <col min="9497" max="9497" width="8.28515625" style="2" customWidth="1"/>
    <col min="9498" max="9499" width="8" style="2" customWidth="1"/>
    <col min="9500" max="9500" width="7.28515625" style="2" customWidth="1"/>
    <col min="9501" max="9502" width="9.5703125" style="2" customWidth="1"/>
    <col min="9503" max="9503" width="8" style="2" customWidth="1"/>
    <col min="9504" max="9506" width="9.5703125" style="2" customWidth="1"/>
    <col min="9507" max="9507" width="7.7109375" style="2" customWidth="1"/>
    <col min="9508" max="9508" width="8.28515625" style="2" customWidth="1"/>
    <col min="9509" max="9509" width="7.7109375" style="2" customWidth="1"/>
    <col min="9510" max="9511" width="8" style="2" customWidth="1"/>
    <col min="9512" max="9515" width="9.5703125" style="2" customWidth="1"/>
    <col min="9516" max="9516" width="8" style="2" customWidth="1"/>
    <col min="9517" max="9517" width="8.5703125" style="2" customWidth="1"/>
    <col min="9518" max="9518" width="9.5703125" style="2" customWidth="1"/>
    <col min="9519" max="9519" width="7.28515625" style="2" customWidth="1"/>
    <col min="9520" max="9520" width="7.7109375" style="2" customWidth="1"/>
    <col min="9521" max="9521" width="22.42578125" style="2" customWidth="1"/>
    <col min="9522" max="9522" width="20.7109375" style="2" customWidth="1"/>
    <col min="9523" max="9523" width="33.5703125" style="2" customWidth="1"/>
    <col min="9524" max="9524" width="22.85546875" style="2" customWidth="1"/>
    <col min="9525" max="9525" width="0" style="2" hidden="1" customWidth="1"/>
    <col min="9526" max="9526" width="19.5703125" style="2" customWidth="1"/>
    <col min="9527" max="9528" width="0" style="2" hidden="1" customWidth="1"/>
    <col min="9529" max="9715" width="10.7109375" style="2"/>
    <col min="9716" max="9716" width="9" style="2" customWidth="1"/>
    <col min="9717" max="9717" width="39.7109375" style="2" customWidth="1"/>
    <col min="9718" max="9718" width="17.28515625" style="2" customWidth="1"/>
    <col min="9719" max="9719" width="0" style="2" hidden="1" customWidth="1"/>
    <col min="9720" max="9720" width="7.42578125" style="2" customWidth="1"/>
    <col min="9721" max="9723" width="10.28515625" style="2" customWidth="1"/>
    <col min="9724" max="9724" width="13.5703125" style="2" customWidth="1"/>
    <col min="9725" max="9726" width="8.5703125" style="2" customWidth="1"/>
    <col min="9727" max="9727" width="9.5703125" style="2" customWidth="1"/>
    <col min="9728" max="9730" width="8.5703125" style="2" customWidth="1"/>
    <col min="9731" max="9737" width="9.5703125" style="2" customWidth="1"/>
    <col min="9738" max="9738" width="11.85546875" style="2" customWidth="1"/>
    <col min="9739" max="9740" width="11.7109375" style="2" customWidth="1"/>
    <col min="9741" max="9741" width="9.5703125" style="2" customWidth="1"/>
    <col min="9742" max="9742" width="8" style="2" customWidth="1"/>
    <col min="9743" max="9743" width="9.5703125" style="2" customWidth="1"/>
    <col min="9744" max="9744" width="8" style="2" customWidth="1"/>
    <col min="9745" max="9745" width="9.5703125" style="2" customWidth="1"/>
    <col min="9746" max="9746" width="7.28515625" style="2" customWidth="1"/>
    <col min="9747" max="9747" width="7.7109375" style="2" customWidth="1"/>
    <col min="9748" max="9748" width="9.5703125" style="2" customWidth="1"/>
    <col min="9749" max="9749" width="8.5703125" style="2" customWidth="1"/>
    <col min="9750" max="9750" width="8" style="2" customWidth="1"/>
    <col min="9751" max="9751" width="9.5703125" style="2" customWidth="1"/>
    <col min="9752" max="9752" width="8" style="2" customWidth="1"/>
    <col min="9753" max="9753" width="8.28515625" style="2" customWidth="1"/>
    <col min="9754" max="9755" width="8" style="2" customWidth="1"/>
    <col min="9756" max="9756" width="7.28515625" style="2" customWidth="1"/>
    <col min="9757" max="9758" width="9.5703125" style="2" customWidth="1"/>
    <col min="9759" max="9759" width="8" style="2" customWidth="1"/>
    <col min="9760" max="9762" width="9.5703125" style="2" customWidth="1"/>
    <col min="9763" max="9763" width="7.7109375" style="2" customWidth="1"/>
    <col min="9764" max="9764" width="8.28515625" style="2" customWidth="1"/>
    <col min="9765" max="9765" width="7.7109375" style="2" customWidth="1"/>
    <col min="9766" max="9767" width="8" style="2" customWidth="1"/>
    <col min="9768" max="9771" width="9.5703125" style="2" customWidth="1"/>
    <col min="9772" max="9772" width="8" style="2" customWidth="1"/>
    <col min="9773" max="9773" width="8.5703125" style="2" customWidth="1"/>
    <col min="9774" max="9774" width="9.5703125" style="2" customWidth="1"/>
    <col min="9775" max="9775" width="7.28515625" style="2" customWidth="1"/>
    <col min="9776" max="9776" width="7.7109375" style="2" customWidth="1"/>
    <col min="9777" max="9777" width="22.42578125" style="2" customWidth="1"/>
    <col min="9778" max="9778" width="20.7109375" style="2" customWidth="1"/>
    <col min="9779" max="9779" width="33.5703125" style="2" customWidth="1"/>
    <col min="9780" max="9780" width="22.85546875" style="2" customWidth="1"/>
    <col min="9781" max="9781" width="0" style="2" hidden="1" customWidth="1"/>
    <col min="9782" max="9782" width="19.5703125" style="2" customWidth="1"/>
    <col min="9783" max="9784" width="0" style="2" hidden="1" customWidth="1"/>
    <col min="9785" max="9971" width="10.7109375" style="2"/>
    <col min="9972" max="9972" width="9" style="2" customWidth="1"/>
    <col min="9973" max="9973" width="39.7109375" style="2" customWidth="1"/>
    <col min="9974" max="9974" width="17.28515625" style="2" customWidth="1"/>
    <col min="9975" max="9975" width="0" style="2" hidden="1" customWidth="1"/>
    <col min="9976" max="9976" width="7.42578125" style="2" customWidth="1"/>
    <col min="9977" max="9979" width="10.28515625" style="2" customWidth="1"/>
    <col min="9980" max="9980" width="13.5703125" style="2" customWidth="1"/>
    <col min="9981" max="9982" width="8.5703125" style="2" customWidth="1"/>
    <col min="9983" max="9983" width="9.5703125" style="2" customWidth="1"/>
    <col min="9984" max="9986" width="8.5703125" style="2" customWidth="1"/>
    <col min="9987" max="9993" width="9.5703125" style="2" customWidth="1"/>
    <col min="9994" max="9994" width="11.85546875" style="2" customWidth="1"/>
    <col min="9995" max="9996" width="11.7109375" style="2" customWidth="1"/>
    <col min="9997" max="9997" width="9.5703125" style="2" customWidth="1"/>
    <col min="9998" max="9998" width="8" style="2" customWidth="1"/>
    <col min="9999" max="9999" width="9.5703125" style="2" customWidth="1"/>
    <col min="10000" max="10000" width="8" style="2" customWidth="1"/>
    <col min="10001" max="10001" width="9.5703125" style="2" customWidth="1"/>
    <col min="10002" max="10002" width="7.28515625" style="2" customWidth="1"/>
    <col min="10003" max="10003" width="7.7109375" style="2" customWidth="1"/>
    <col min="10004" max="10004" width="9.5703125" style="2" customWidth="1"/>
    <col min="10005" max="10005" width="8.5703125" style="2" customWidth="1"/>
    <col min="10006" max="10006" width="8" style="2" customWidth="1"/>
    <col min="10007" max="10007" width="9.5703125" style="2" customWidth="1"/>
    <col min="10008" max="10008" width="8" style="2" customWidth="1"/>
    <col min="10009" max="10009" width="8.28515625" style="2" customWidth="1"/>
    <col min="10010" max="10011" width="8" style="2" customWidth="1"/>
    <col min="10012" max="10012" width="7.28515625" style="2" customWidth="1"/>
    <col min="10013" max="10014" width="9.5703125" style="2" customWidth="1"/>
    <col min="10015" max="10015" width="8" style="2" customWidth="1"/>
    <col min="10016" max="10018" width="9.5703125" style="2" customWidth="1"/>
    <col min="10019" max="10019" width="7.7109375" style="2" customWidth="1"/>
    <col min="10020" max="10020" width="8.28515625" style="2" customWidth="1"/>
    <col min="10021" max="10021" width="7.7109375" style="2" customWidth="1"/>
    <col min="10022" max="10023" width="8" style="2" customWidth="1"/>
    <col min="10024" max="10027" width="9.5703125" style="2" customWidth="1"/>
    <col min="10028" max="10028" width="8" style="2" customWidth="1"/>
    <col min="10029" max="10029" width="8.5703125" style="2" customWidth="1"/>
    <col min="10030" max="10030" width="9.5703125" style="2" customWidth="1"/>
    <col min="10031" max="10031" width="7.28515625" style="2" customWidth="1"/>
    <col min="10032" max="10032" width="7.7109375" style="2" customWidth="1"/>
    <col min="10033" max="10033" width="22.42578125" style="2" customWidth="1"/>
    <col min="10034" max="10034" width="20.7109375" style="2" customWidth="1"/>
    <col min="10035" max="10035" width="33.5703125" style="2" customWidth="1"/>
    <col min="10036" max="10036" width="22.85546875" style="2" customWidth="1"/>
    <col min="10037" max="10037" width="0" style="2" hidden="1" customWidth="1"/>
    <col min="10038" max="10038" width="19.5703125" style="2" customWidth="1"/>
    <col min="10039" max="10040" width="0" style="2" hidden="1" customWidth="1"/>
    <col min="10041" max="10227" width="10.7109375" style="2"/>
    <col min="10228" max="10228" width="9" style="2" customWidth="1"/>
    <col min="10229" max="10229" width="39.7109375" style="2" customWidth="1"/>
    <col min="10230" max="10230" width="17.28515625" style="2" customWidth="1"/>
    <col min="10231" max="10231" width="0" style="2" hidden="1" customWidth="1"/>
    <col min="10232" max="10232" width="7.42578125" style="2" customWidth="1"/>
    <col min="10233" max="10235" width="10.28515625" style="2" customWidth="1"/>
    <col min="10236" max="10236" width="13.5703125" style="2" customWidth="1"/>
    <col min="10237" max="10238" width="8.5703125" style="2" customWidth="1"/>
    <col min="10239" max="10239" width="9.5703125" style="2" customWidth="1"/>
    <col min="10240" max="10242" width="8.5703125" style="2" customWidth="1"/>
    <col min="10243" max="10249" width="9.5703125" style="2" customWidth="1"/>
    <col min="10250" max="10250" width="11.85546875" style="2" customWidth="1"/>
    <col min="10251" max="10252" width="11.7109375" style="2" customWidth="1"/>
    <col min="10253" max="10253" width="9.5703125" style="2" customWidth="1"/>
    <col min="10254" max="10254" width="8" style="2" customWidth="1"/>
    <col min="10255" max="10255" width="9.5703125" style="2" customWidth="1"/>
    <col min="10256" max="10256" width="8" style="2" customWidth="1"/>
    <col min="10257" max="10257" width="9.5703125" style="2" customWidth="1"/>
    <col min="10258" max="10258" width="7.28515625" style="2" customWidth="1"/>
    <col min="10259" max="10259" width="7.7109375" style="2" customWidth="1"/>
    <col min="10260" max="10260" width="9.5703125" style="2" customWidth="1"/>
    <col min="10261" max="10261" width="8.5703125" style="2" customWidth="1"/>
    <col min="10262" max="10262" width="8" style="2" customWidth="1"/>
    <col min="10263" max="10263" width="9.5703125" style="2" customWidth="1"/>
    <col min="10264" max="10264" width="8" style="2" customWidth="1"/>
    <col min="10265" max="10265" width="8.28515625" style="2" customWidth="1"/>
    <col min="10266" max="10267" width="8" style="2" customWidth="1"/>
    <col min="10268" max="10268" width="7.28515625" style="2" customWidth="1"/>
    <col min="10269" max="10270" width="9.5703125" style="2" customWidth="1"/>
    <col min="10271" max="10271" width="8" style="2" customWidth="1"/>
    <col min="10272" max="10274" width="9.5703125" style="2" customWidth="1"/>
    <col min="10275" max="10275" width="7.7109375" style="2" customWidth="1"/>
    <col min="10276" max="10276" width="8.28515625" style="2" customWidth="1"/>
    <col min="10277" max="10277" width="7.7109375" style="2" customWidth="1"/>
    <col min="10278" max="10279" width="8" style="2" customWidth="1"/>
    <col min="10280" max="10283" width="9.5703125" style="2" customWidth="1"/>
    <col min="10284" max="10284" width="8" style="2" customWidth="1"/>
    <col min="10285" max="10285" width="8.5703125" style="2" customWidth="1"/>
    <col min="10286" max="10286" width="9.5703125" style="2" customWidth="1"/>
    <col min="10287" max="10287" width="7.28515625" style="2" customWidth="1"/>
    <col min="10288" max="10288" width="7.7109375" style="2" customWidth="1"/>
    <col min="10289" max="10289" width="22.42578125" style="2" customWidth="1"/>
    <col min="10290" max="10290" width="20.7109375" style="2" customWidth="1"/>
    <col min="10291" max="10291" width="33.5703125" style="2" customWidth="1"/>
    <col min="10292" max="10292" width="22.85546875" style="2" customWidth="1"/>
    <col min="10293" max="10293" width="0" style="2" hidden="1" customWidth="1"/>
    <col min="10294" max="10294" width="19.5703125" style="2" customWidth="1"/>
    <col min="10295" max="10296" width="0" style="2" hidden="1" customWidth="1"/>
    <col min="10297" max="10483" width="10.7109375" style="2"/>
    <col min="10484" max="10484" width="9" style="2" customWidth="1"/>
    <col min="10485" max="10485" width="39.7109375" style="2" customWidth="1"/>
    <col min="10486" max="10486" width="17.28515625" style="2" customWidth="1"/>
    <col min="10487" max="10487" width="0" style="2" hidden="1" customWidth="1"/>
    <col min="10488" max="10488" width="7.42578125" style="2" customWidth="1"/>
    <col min="10489" max="10491" width="10.28515625" style="2" customWidth="1"/>
    <col min="10492" max="10492" width="13.5703125" style="2" customWidth="1"/>
    <col min="10493" max="10494" width="8.5703125" style="2" customWidth="1"/>
    <col min="10495" max="10495" width="9.5703125" style="2" customWidth="1"/>
    <col min="10496" max="10498" width="8.5703125" style="2" customWidth="1"/>
    <col min="10499" max="10505" width="9.5703125" style="2" customWidth="1"/>
    <col min="10506" max="10506" width="11.85546875" style="2" customWidth="1"/>
    <col min="10507" max="10508" width="11.7109375" style="2" customWidth="1"/>
    <col min="10509" max="10509" width="9.5703125" style="2" customWidth="1"/>
    <col min="10510" max="10510" width="8" style="2" customWidth="1"/>
    <col min="10511" max="10511" width="9.5703125" style="2" customWidth="1"/>
    <col min="10512" max="10512" width="8" style="2" customWidth="1"/>
    <col min="10513" max="10513" width="9.5703125" style="2" customWidth="1"/>
    <col min="10514" max="10514" width="7.28515625" style="2" customWidth="1"/>
    <col min="10515" max="10515" width="7.7109375" style="2" customWidth="1"/>
    <col min="10516" max="10516" width="9.5703125" style="2" customWidth="1"/>
    <col min="10517" max="10517" width="8.5703125" style="2" customWidth="1"/>
    <col min="10518" max="10518" width="8" style="2" customWidth="1"/>
    <col min="10519" max="10519" width="9.5703125" style="2" customWidth="1"/>
    <col min="10520" max="10520" width="8" style="2" customWidth="1"/>
    <col min="10521" max="10521" width="8.28515625" style="2" customWidth="1"/>
    <col min="10522" max="10523" width="8" style="2" customWidth="1"/>
    <col min="10524" max="10524" width="7.28515625" style="2" customWidth="1"/>
    <col min="10525" max="10526" width="9.5703125" style="2" customWidth="1"/>
    <col min="10527" max="10527" width="8" style="2" customWidth="1"/>
    <col min="10528" max="10530" width="9.5703125" style="2" customWidth="1"/>
    <col min="10531" max="10531" width="7.7109375" style="2" customWidth="1"/>
    <col min="10532" max="10532" width="8.28515625" style="2" customWidth="1"/>
    <col min="10533" max="10533" width="7.7109375" style="2" customWidth="1"/>
    <col min="10534" max="10535" width="8" style="2" customWidth="1"/>
    <col min="10536" max="10539" width="9.5703125" style="2" customWidth="1"/>
    <col min="10540" max="10540" width="8" style="2" customWidth="1"/>
    <col min="10541" max="10541" width="8.5703125" style="2" customWidth="1"/>
    <col min="10542" max="10542" width="9.5703125" style="2" customWidth="1"/>
    <col min="10543" max="10543" width="7.28515625" style="2" customWidth="1"/>
    <col min="10544" max="10544" width="7.7109375" style="2" customWidth="1"/>
    <col min="10545" max="10545" width="22.42578125" style="2" customWidth="1"/>
    <col min="10546" max="10546" width="20.7109375" style="2" customWidth="1"/>
    <col min="10547" max="10547" width="33.5703125" style="2" customWidth="1"/>
    <col min="10548" max="10548" width="22.85546875" style="2" customWidth="1"/>
    <col min="10549" max="10549" width="0" style="2" hidden="1" customWidth="1"/>
    <col min="10550" max="10550" width="19.5703125" style="2" customWidth="1"/>
    <col min="10551" max="10552" width="0" style="2" hidden="1" customWidth="1"/>
    <col min="10553" max="10739" width="10.7109375" style="2"/>
    <col min="10740" max="10740" width="9" style="2" customWidth="1"/>
    <col min="10741" max="10741" width="39.7109375" style="2" customWidth="1"/>
    <col min="10742" max="10742" width="17.28515625" style="2" customWidth="1"/>
    <col min="10743" max="10743" width="0" style="2" hidden="1" customWidth="1"/>
    <col min="10744" max="10744" width="7.42578125" style="2" customWidth="1"/>
    <col min="10745" max="10747" width="10.28515625" style="2" customWidth="1"/>
    <col min="10748" max="10748" width="13.5703125" style="2" customWidth="1"/>
    <col min="10749" max="10750" width="8.5703125" style="2" customWidth="1"/>
    <col min="10751" max="10751" width="9.5703125" style="2" customWidth="1"/>
    <col min="10752" max="10754" width="8.5703125" style="2" customWidth="1"/>
    <col min="10755" max="10761" width="9.5703125" style="2" customWidth="1"/>
    <col min="10762" max="10762" width="11.85546875" style="2" customWidth="1"/>
    <col min="10763" max="10764" width="11.7109375" style="2" customWidth="1"/>
    <col min="10765" max="10765" width="9.5703125" style="2" customWidth="1"/>
    <col min="10766" max="10766" width="8" style="2" customWidth="1"/>
    <col min="10767" max="10767" width="9.5703125" style="2" customWidth="1"/>
    <col min="10768" max="10768" width="8" style="2" customWidth="1"/>
    <col min="10769" max="10769" width="9.5703125" style="2" customWidth="1"/>
    <col min="10770" max="10770" width="7.28515625" style="2" customWidth="1"/>
    <col min="10771" max="10771" width="7.7109375" style="2" customWidth="1"/>
    <col min="10772" max="10772" width="9.5703125" style="2" customWidth="1"/>
    <col min="10773" max="10773" width="8.5703125" style="2" customWidth="1"/>
    <col min="10774" max="10774" width="8" style="2" customWidth="1"/>
    <col min="10775" max="10775" width="9.5703125" style="2" customWidth="1"/>
    <col min="10776" max="10776" width="8" style="2" customWidth="1"/>
    <col min="10777" max="10777" width="8.28515625" style="2" customWidth="1"/>
    <col min="10778" max="10779" width="8" style="2" customWidth="1"/>
    <col min="10780" max="10780" width="7.28515625" style="2" customWidth="1"/>
    <col min="10781" max="10782" width="9.5703125" style="2" customWidth="1"/>
    <col min="10783" max="10783" width="8" style="2" customWidth="1"/>
    <col min="10784" max="10786" width="9.5703125" style="2" customWidth="1"/>
    <col min="10787" max="10787" width="7.7109375" style="2" customWidth="1"/>
    <col min="10788" max="10788" width="8.28515625" style="2" customWidth="1"/>
    <col min="10789" max="10789" width="7.7109375" style="2" customWidth="1"/>
    <col min="10790" max="10791" width="8" style="2" customWidth="1"/>
    <col min="10792" max="10795" width="9.5703125" style="2" customWidth="1"/>
    <col min="10796" max="10796" width="8" style="2" customWidth="1"/>
    <col min="10797" max="10797" width="8.5703125" style="2" customWidth="1"/>
    <col min="10798" max="10798" width="9.5703125" style="2" customWidth="1"/>
    <col min="10799" max="10799" width="7.28515625" style="2" customWidth="1"/>
    <col min="10800" max="10800" width="7.7109375" style="2" customWidth="1"/>
    <col min="10801" max="10801" width="22.42578125" style="2" customWidth="1"/>
    <col min="10802" max="10802" width="20.7109375" style="2" customWidth="1"/>
    <col min="10803" max="10803" width="33.5703125" style="2" customWidth="1"/>
    <col min="10804" max="10804" width="22.85546875" style="2" customWidth="1"/>
    <col min="10805" max="10805" width="0" style="2" hidden="1" customWidth="1"/>
    <col min="10806" max="10806" width="19.5703125" style="2" customWidth="1"/>
    <col min="10807" max="10808" width="0" style="2" hidden="1" customWidth="1"/>
    <col min="10809" max="10995" width="10.7109375" style="2"/>
    <col min="10996" max="10996" width="9" style="2" customWidth="1"/>
    <col min="10997" max="10997" width="39.7109375" style="2" customWidth="1"/>
    <col min="10998" max="10998" width="17.28515625" style="2" customWidth="1"/>
    <col min="10999" max="10999" width="0" style="2" hidden="1" customWidth="1"/>
    <col min="11000" max="11000" width="7.42578125" style="2" customWidth="1"/>
    <col min="11001" max="11003" width="10.28515625" style="2" customWidth="1"/>
    <col min="11004" max="11004" width="13.5703125" style="2" customWidth="1"/>
    <col min="11005" max="11006" width="8.5703125" style="2" customWidth="1"/>
    <col min="11007" max="11007" width="9.5703125" style="2" customWidth="1"/>
    <col min="11008" max="11010" width="8.5703125" style="2" customWidth="1"/>
    <col min="11011" max="11017" width="9.5703125" style="2" customWidth="1"/>
    <col min="11018" max="11018" width="11.85546875" style="2" customWidth="1"/>
    <col min="11019" max="11020" width="11.7109375" style="2" customWidth="1"/>
    <col min="11021" max="11021" width="9.5703125" style="2" customWidth="1"/>
    <col min="11022" max="11022" width="8" style="2" customWidth="1"/>
    <col min="11023" max="11023" width="9.5703125" style="2" customWidth="1"/>
    <col min="11024" max="11024" width="8" style="2" customWidth="1"/>
    <col min="11025" max="11025" width="9.5703125" style="2" customWidth="1"/>
    <col min="11026" max="11026" width="7.28515625" style="2" customWidth="1"/>
    <col min="11027" max="11027" width="7.7109375" style="2" customWidth="1"/>
    <col min="11028" max="11028" width="9.5703125" style="2" customWidth="1"/>
    <col min="11029" max="11029" width="8.5703125" style="2" customWidth="1"/>
    <col min="11030" max="11030" width="8" style="2" customWidth="1"/>
    <col min="11031" max="11031" width="9.5703125" style="2" customWidth="1"/>
    <col min="11032" max="11032" width="8" style="2" customWidth="1"/>
    <col min="11033" max="11033" width="8.28515625" style="2" customWidth="1"/>
    <col min="11034" max="11035" width="8" style="2" customWidth="1"/>
    <col min="11036" max="11036" width="7.28515625" style="2" customWidth="1"/>
    <col min="11037" max="11038" width="9.5703125" style="2" customWidth="1"/>
    <col min="11039" max="11039" width="8" style="2" customWidth="1"/>
    <col min="11040" max="11042" width="9.5703125" style="2" customWidth="1"/>
    <col min="11043" max="11043" width="7.7109375" style="2" customWidth="1"/>
    <col min="11044" max="11044" width="8.28515625" style="2" customWidth="1"/>
    <col min="11045" max="11045" width="7.7109375" style="2" customWidth="1"/>
    <col min="11046" max="11047" width="8" style="2" customWidth="1"/>
    <col min="11048" max="11051" width="9.5703125" style="2" customWidth="1"/>
    <col min="11052" max="11052" width="8" style="2" customWidth="1"/>
    <col min="11053" max="11053" width="8.5703125" style="2" customWidth="1"/>
    <col min="11054" max="11054" width="9.5703125" style="2" customWidth="1"/>
    <col min="11055" max="11055" width="7.28515625" style="2" customWidth="1"/>
    <col min="11056" max="11056" width="7.7109375" style="2" customWidth="1"/>
    <col min="11057" max="11057" width="22.42578125" style="2" customWidth="1"/>
    <col min="11058" max="11058" width="20.7109375" style="2" customWidth="1"/>
    <col min="11059" max="11059" width="33.5703125" style="2" customWidth="1"/>
    <col min="11060" max="11060" width="22.85546875" style="2" customWidth="1"/>
    <col min="11061" max="11061" width="0" style="2" hidden="1" customWidth="1"/>
    <col min="11062" max="11062" width="19.5703125" style="2" customWidth="1"/>
    <col min="11063" max="11064" width="0" style="2" hidden="1" customWidth="1"/>
    <col min="11065" max="11251" width="10.7109375" style="2"/>
    <col min="11252" max="11252" width="9" style="2" customWidth="1"/>
    <col min="11253" max="11253" width="39.7109375" style="2" customWidth="1"/>
    <col min="11254" max="11254" width="17.28515625" style="2" customWidth="1"/>
    <col min="11255" max="11255" width="0" style="2" hidden="1" customWidth="1"/>
    <col min="11256" max="11256" width="7.42578125" style="2" customWidth="1"/>
    <col min="11257" max="11259" width="10.28515625" style="2" customWidth="1"/>
    <col min="11260" max="11260" width="13.5703125" style="2" customWidth="1"/>
    <col min="11261" max="11262" width="8.5703125" style="2" customWidth="1"/>
    <col min="11263" max="11263" width="9.5703125" style="2" customWidth="1"/>
    <col min="11264" max="11266" width="8.5703125" style="2" customWidth="1"/>
    <col min="11267" max="11273" width="9.5703125" style="2" customWidth="1"/>
    <col min="11274" max="11274" width="11.85546875" style="2" customWidth="1"/>
    <col min="11275" max="11276" width="11.7109375" style="2" customWidth="1"/>
    <col min="11277" max="11277" width="9.5703125" style="2" customWidth="1"/>
    <col min="11278" max="11278" width="8" style="2" customWidth="1"/>
    <col min="11279" max="11279" width="9.5703125" style="2" customWidth="1"/>
    <col min="11280" max="11280" width="8" style="2" customWidth="1"/>
    <col min="11281" max="11281" width="9.5703125" style="2" customWidth="1"/>
    <col min="11282" max="11282" width="7.28515625" style="2" customWidth="1"/>
    <col min="11283" max="11283" width="7.7109375" style="2" customWidth="1"/>
    <col min="11284" max="11284" width="9.5703125" style="2" customWidth="1"/>
    <col min="11285" max="11285" width="8.5703125" style="2" customWidth="1"/>
    <col min="11286" max="11286" width="8" style="2" customWidth="1"/>
    <col min="11287" max="11287" width="9.5703125" style="2" customWidth="1"/>
    <col min="11288" max="11288" width="8" style="2" customWidth="1"/>
    <col min="11289" max="11289" width="8.28515625" style="2" customWidth="1"/>
    <col min="11290" max="11291" width="8" style="2" customWidth="1"/>
    <col min="11292" max="11292" width="7.28515625" style="2" customWidth="1"/>
    <col min="11293" max="11294" width="9.5703125" style="2" customWidth="1"/>
    <col min="11295" max="11295" width="8" style="2" customWidth="1"/>
    <col min="11296" max="11298" width="9.5703125" style="2" customWidth="1"/>
    <col min="11299" max="11299" width="7.7109375" style="2" customWidth="1"/>
    <col min="11300" max="11300" width="8.28515625" style="2" customWidth="1"/>
    <col min="11301" max="11301" width="7.7109375" style="2" customWidth="1"/>
    <col min="11302" max="11303" width="8" style="2" customWidth="1"/>
    <col min="11304" max="11307" width="9.5703125" style="2" customWidth="1"/>
    <col min="11308" max="11308" width="8" style="2" customWidth="1"/>
    <col min="11309" max="11309" width="8.5703125" style="2" customWidth="1"/>
    <col min="11310" max="11310" width="9.5703125" style="2" customWidth="1"/>
    <col min="11311" max="11311" width="7.28515625" style="2" customWidth="1"/>
    <col min="11312" max="11312" width="7.7109375" style="2" customWidth="1"/>
    <col min="11313" max="11313" width="22.42578125" style="2" customWidth="1"/>
    <col min="11314" max="11314" width="20.7109375" style="2" customWidth="1"/>
    <col min="11315" max="11315" width="33.5703125" style="2" customWidth="1"/>
    <col min="11316" max="11316" width="22.85546875" style="2" customWidth="1"/>
    <col min="11317" max="11317" width="0" style="2" hidden="1" customWidth="1"/>
    <col min="11318" max="11318" width="19.5703125" style="2" customWidth="1"/>
    <col min="11319" max="11320" width="0" style="2" hidden="1" customWidth="1"/>
    <col min="11321" max="11507" width="10.7109375" style="2"/>
    <col min="11508" max="11508" width="9" style="2" customWidth="1"/>
    <col min="11509" max="11509" width="39.7109375" style="2" customWidth="1"/>
    <col min="11510" max="11510" width="17.28515625" style="2" customWidth="1"/>
    <col min="11511" max="11511" width="0" style="2" hidden="1" customWidth="1"/>
    <col min="11512" max="11512" width="7.42578125" style="2" customWidth="1"/>
    <col min="11513" max="11515" width="10.28515625" style="2" customWidth="1"/>
    <col min="11516" max="11516" width="13.5703125" style="2" customWidth="1"/>
    <col min="11517" max="11518" width="8.5703125" style="2" customWidth="1"/>
    <col min="11519" max="11519" width="9.5703125" style="2" customWidth="1"/>
    <col min="11520" max="11522" width="8.5703125" style="2" customWidth="1"/>
    <col min="11523" max="11529" width="9.5703125" style="2" customWidth="1"/>
    <col min="11530" max="11530" width="11.85546875" style="2" customWidth="1"/>
    <col min="11531" max="11532" width="11.7109375" style="2" customWidth="1"/>
    <col min="11533" max="11533" width="9.5703125" style="2" customWidth="1"/>
    <col min="11534" max="11534" width="8" style="2" customWidth="1"/>
    <col min="11535" max="11535" width="9.5703125" style="2" customWidth="1"/>
    <col min="11536" max="11536" width="8" style="2" customWidth="1"/>
    <col min="11537" max="11537" width="9.5703125" style="2" customWidth="1"/>
    <col min="11538" max="11538" width="7.28515625" style="2" customWidth="1"/>
    <col min="11539" max="11539" width="7.7109375" style="2" customWidth="1"/>
    <col min="11540" max="11540" width="9.5703125" style="2" customWidth="1"/>
    <col min="11541" max="11541" width="8.5703125" style="2" customWidth="1"/>
    <col min="11542" max="11542" width="8" style="2" customWidth="1"/>
    <col min="11543" max="11543" width="9.5703125" style="2" customWidth="1"/>
    <col min="11544" max="11544" width="8" style="2" customWidth="1"/>
    <col min="11545" max="11545" width="8.28515625" style="2" customWidth="1"/>
    <col min="11546" max="11547" width="8" style="2" customWidth="1"/>
    <col min="11548" max="11548" width="7.28515625" style="2" customWidth="1"/>
    <col min="11549" max="11550" width="9.5703125" style="2" customWidth="1"/>
    <col min="11551" max="11551" width="8" style="2" customWidth="1"/>
    <col min="11552" max="11554" width="9.5703125" style="2" customWidth="1"/>
    <col min="11555" max="11555" width="7.7109375" style="2" customWidth="1"/>
    <col min="11556" max="11556" width="8.28515625" style="2" customWidth="1"/>
    <col min="11557" max="11557" width="7.7109375" style="2" customWidth="1"/>
    <col min="11558" max="11559" width="8" style="2" customWidth="1"/>
    <col min="11560" max="11563" width="9.5703125" style="2" customWidth="1"/>
    <col min="11564" max="11564" width="8" style="2" customWidth="1"/>
    <col min="11565" max="11565" width="8.5703125" style="2" customWidth="1"/>
    <col min="11566" max="11566" width="9.5703125" style="2" customWidth="1"/>
    <col min="11567" max="11567" width="7.28515625" style="2" customWidth="1"/>
    <col min="11568" max="11568" width="7.7109375" style="2" customWidth="1"/>
    <col min="11569" max="11569" width="22.42578125" style="2" customWidth="1"/>
    <col min="11570" max="11570" width="20.7109375" style="2" customWidth="1"/>
    <col min="11571" max="11571" width="33.5703125" style="2" customWidth="1"/>
    <col min="11572" max="11572" width="22.85546875" style="2" customWidth="1"/>
    <col min="11573" max="11573" width="0" style="2" hidden="1" customWidth="1"/>
    <col min="11574" max="11574" width="19.5703125" style="2" customWidth="1"/>
    <col min="11575" max="11576" width="0" style="2" hidden="1" customWidth="1"/>
    <col min="11577" max="11763" width="10.7109375" style="2"/>
    <col min="11764" max="11764" width="9" style="2" customWidth="1"/>
    <col min="11765" max="11765" width="39.7109375" style="2" customWidth="1"/>
    <col min="11766" max="11766" width="17.28515625" style="2" customWidth="1"/>
    <col min="11767" max="11767" width="0" style="2" hidden="1" customWidth="1"/>
    <col min="11768" max="11768" width="7.42578125" style="2" customWidth="1"/>
    <col min="11769" max="11771" width="10.28515625" style="2" customWidth="1"/>
    <col min="11772" max="11772" width="13.5703125" style="2" customWidth="1"/>
    <col min="11773" max="11774" width="8.5703125" style="2" customWidth="1"/>
    <col min="11775" max="11775" width="9.5703125" style="2" customWidth="1"/>
    <col min="11776" max="11778" width="8.5703125" style="2" customWidth="1"/>
    <col min="11779" max="11785" width="9.5703125" style="2" customWidth="1"/>
    <col min="11786" max="11786" width="11.85546875" style="2" customWidth="1"/>
    <col min="11787" max="11788" width="11.7109375" style="2" customWidth="1"/>
    <col min="11789" max="11789" width="9.5703125" style="2" customWidth="1"/>
    <col min="11790" max="11790" width="8" style="2" customWidth="1"/>
    <col min="11791" max="11791" width="9.5703125" style="2" customWidth="1"/>
    <col min="11792" max="11792" width="8" style="2" customWidth="1"/>
    <col min="11793" max="11793" width="9.5703125" style="2" customWidth="1"/>
    <col min="11794" max="11794" width="7.28515625" style="2" customWidth="1"/>
    <col min="11795" max="11795" width="7.7109375" style="2" customWidth="1"/>
    <col min="11796" max="11796" width="9.5703125" style="2" customWidth="1"/>
    <col min="11797" max="11797" width="8.5703125" style="2" customWidth="1"/>
    <col min="11798" max="11798" width="8" style="2" customWidth="1"/>
    <col min="11799" max="11799" width="9.5703125" style="2" customWidth="1"/>
    <col min="11800" max="11800" width="8" style="2" customWidth="1"/>
    <col min="11801" max="11801" width="8.28515625" style="2" customWidth="1"/>
    <col min="11802" max="11803" width="8" style="2" customWidth="1"/>
    <col min="11804" max="11804" width="7.28515625" style="2" customWidth="1"/>
    <col min="11805" max="11806" width="9.5703125" style="2" customWidth="1"/>
    <col min="11807" max="11807" width="8" style="2" customWidth="1"/>
    <col min="11808" max="11810" width="9.5703125" style="2" customWidth="1"/>
    <col min="11811" max="11811" width="7.7109375" style="2" customWidth="1"/>
    <col min="11812" max="11812" width="8.28515625" style="2" customWidth="1"/>
    <col min="11813" max="11813" width="7.7109375" style="2" customWidth="1"/>
    <col min="11814" max="11815" width="8" style="2" customWidth="1"/>
    <col min="11816" max="11819" width="9.5703125" style="2" customWidth="1"/>
    <col min="11820" max="11820" width="8" style="2" customWidth="1"/>
    <col min="11821" max="11821" width="8.5703125" style="2" customWidth="1"/>
    <col min="11822" max="11822" width="9.5703125" style="2" customWidth="1"/>
    <col min="11823" max="11823" width="7.28515625" style="2" customWidth="1"/>
    <col min="11824" max="11824" width="7.7109375" style="2" customWidth="1"/>
    <col min="11825" max="11825" width="22.42578125" style="2" customWidth="1"/>
    <col min="11826" max="11826" width="20.7109375" style="2" customWidth="1"/>
    <col min="11827" max="11827" width="33.5703125" style="2" customWidth="1"/>
    <col min="11828" max="11828" width="22.85546875" style="2" customWidth="1"/>
    <col min="11829" max="11829" width="0" style="2" hidden="1" customWidth="1"/>
    <col min="11830" max="11830" width="19.5703125" style="2" customWidth="1"/>
    <col min="11831" max="11832" width="0" style="2" hidden="1" customWidth="1"/>
    <col min="11833" max="12019" width="10.7109375" style="2"/>
    <col min="12020" max="12020" width="9" style="2" customWidth="1"/>
    <col min="12021" max="12021" width="39.7109375" style="2" customWidth="1"/>
    <col min="12022" max="12022" width="17.28515625" style="2" customWidth="1"/>
    <col min="12023" max="12023" width="0" style="2" hidden="1" customWidth="1"/>
    <col min="12024" max="12024" width="7.42578125" style="2" customWidth="1"/>
    <col min="12025" max="12027" width="10.28515625" style="2" customWidth="1"/>
    <col min="12028" max="12028" width="13.5703125" style="2" customWidth="1"/>
    <col min="12029" max="12030" width="8.5703125" style="2" customWidth="1"/>
    <col min="12031" max="12031" width="9.5703125" style="2" customWidth="1"/>
    <col min="12032" max="12034" width="8.5703125" style="2" customWidth="1"/>
    <col min="12035" max="12041" width="9.5703125" style="2" customWidth="1"/>
    <col min="12042" max="12042" width="11.85546875" style="2" customWidth="1"/>
    <col min="12043" max="12044" width="11.7109375" style="2" customWidth="1"/>
    <col min="12045" max="12045" width="9.5703125" style="2" customWidth="1"/>
    <col min="12046" max="12046" width="8" style="2" customWidth="1"/>
    <col min="12047" max="12047" width="9.5703125" style="2" customWidth="1"/>
    <col min="12048" max="12048" width="8" style="2" customWidth="1"/>
    <col min="12049" max="12049" width="9.5703125" style="2" customWidth="1"/>
    <col min="12050" max="12050" width="7.28515625" style="2" customWidth="1"/>
    <col min="12051" max="12051" width="7.7109375" style="2" customWidth="1"/>
    <col min="12052" max="12052" width="9.5703125" style="2" customWidth="1"/>
    <col min="12053" max="12053" width="8.5703125" style="2" customWidth="1"/>
    <col min="12054" max="12054" width="8" style="2" customWidth="1"/>
    <col min="12055" max="12055" width="9.5703125" style="2" customWidth="1"/>
    <col min="12056" max="12056" width="8" style="2" customWidth="1"/>
    <col min="12057" max="12057" width="8.28515625" style="2" customWidth="1"/>
    <col min="12058" max="12059" width="8" style="2" customWidth="1"/>
    <col min="12060" max="12060" width="7.28515625" style="2" customWidth="1"/>
    <col min="12061" max="12062" width="9.5703125" style="2" customWidth="1"/>
    <col min="12063" max="12063" width="8" style="2" customWidth="1"/>
    <col min="12064" max="12066" width="9.5703125" style="2" customWidth="1"/>
    <col min="12067" max="12067" width="7.7109375" style="2" customWidth="1"/>
    <col min="12068" max="12068" width="8.28515625" style="2" customWidth="1"/>
    <col min="12069" max="12069" width="7.7109375" style="2" customWidth="1"/>
    <col min="12070" max="12071" width="8" style="2" customWidth="1"/>
    <col min="12072" max="12075" width="9.5703125" style="2" customWidth="1"/>
    <col min="12076" max="12076" width="8" style="2" customWidth="1"/>
    <col min="12077" max="12077" width="8.5703125" style="2" customWidth="1"/>
    <col min="12078" max="12078" width="9.5703125" style="2" customWidth="1"/>
    <col min="12079" max="12079" width="7.28515625" style="2" customWidth="1"/>
    <col min="12080" max="12080" width="7.7109375" style="2" customWidth="1"/>
    <col min="12081" max="12081" width="22.42578125" style="2" customWidth="1"/>
    <col min="12082" max="12082" width="20.7109375" style="2" customWidth="1"/>
    <col min="12083" max="12083" width="33.5703125" style="2" customWidth="1"/>
    <col min="12084" max="12084" width="22.85546875" style="2" customWidth="1"/>
    <col min="12085" max="12085" width="0" style="2" hidden="1" customWidth="1"/>
    <col min="12086" max="12086" width="19.5703125" style="2" customWidth="1"/>
    <col min="12087" max="12088" width="0" style="2" hidden="1" customWidth="1"/>
    <col min="12089" max="12275" width="10.7109375" style="2"/>
    <col min="12276" max="12276" width="9" style="2" customWidth="1"/>
    <col min="12277" max="12277" width="39.7109375" style="2" customWidth="1"/>
    <col min="12278" max="12278" width="17.28515625" style="2" customWidth="1"/>
    <col min="12279" max="12279" width="0" style="2" hidden="1" customWidth="1"/>
    <col min="12280" max="12280" width="7.42578125" style="2" customWidth="1"/>
    <col min="12281" max="12283" width="10.28515625" style="2" customWidth="1"/>
    <col min="12284" max="12284" width="13.5703125" style="2" customWidth="1"/>
    <col min="12285" max="12286" width="8.5703125" style="2" customWidth="1"/>
    <col min="12287" max="12287" width="9.5703125" style="2" customWidth="1"/>
    <col min="12288" max="12290" width="8.5703125" style="2" customWidth="1"/>
    <col min="12291" max="12297" width="9.5703125" style="2" customWidth="1"/>
    <col min="12298" max="12298" width="11.85546875" style="2" customWidth="1"/>
    <col min="12299" max="12300" width="11.7109375" style="2" customWidth="1"/>
    <col min="12301" max="12301" width="9.5703125" style="2" customWidth="1"/>
    <col min="12302" max="12302" width="8" style="2" customWidth="1"/>
    <col min="12303" max="12303" width="9.5703125" style="2" customWidth="1"/>
    <col min="12304" max="12304" width="8" style="2" customWidth="1"/>
    <col min="12305" max="12305" width="9.5703125" style="2" customWidth="1"/>
    <col min="12306" max="12306" width="7.28515625" style="2" customWidth="1"/>
    <col min="12307" max="12307" width="7.7109375" style="2" customWidth="1"/>
    <col min="12308" max="12308" width="9.5703125" style="2" customWidth="1"/>
    <col min="12309" max="12309" width="8.5703125" style="2" customWidth="1"/>
    <col min="12310" max="12310" width="8" style="2" customWidth="1"/>
    <col min="12311" max="12311" width="9.5703125" style="2" customWidth="1"/>
    <col min="12312" max="12312" width="8" style="2" customWidth="1"/>
    <col min="12313" max="12313" width="8.28515625" style="2" customWidth="1"/>
    <col min="12314" max="12315" width="8" style="2" customWidth="1"/>
    <col min="12316" max="12316" width="7.28515625" style="2" customWidth="1"/>
    <col min="12317" max="12318" width="9.5703125" style="2" customWidth="1"/>
    <col min="12319" max="12319" width="8" style="2" customWidth="1"/>
    <col min="12320" max="12322" width="9.5703125" style="2" customWidth="1"/>
    <col min="12323" max="12323" width="7.7109375" style="2" customWidth="1"/>
    <col min="12324" max="12324" width="8.28515625" style="2" customWidth="1"/>
    <col min="12325" max="12325" width="7.7109375" style="2" customWidth="1"/>
    <col min="12326" max="12327" width="8" style="2" customWidth="1"/>
    <col min="12328" max="12331" width="9.5703125" style="2" customWidth="1"/>
    <col min="12332" max="12332" width="8" style="2" customWidth="1"/>
    <col min="12333" max="12333" width="8.5703125" style="2" customWidth="1"/>
    <col min="12334" max="12334" width="9.5703125" style="2" customWidth="1"/>
    <col min="12335" max="12335" width="7.28515625" style="2" customWidth="1"/>
    <col min="12336" max="12336" width="7.7109375" style="2" customWidth="1"/>
    <col min="12337" max="12337" width="22.42578125" style="2" customWidth="1"/>
    <col min="12338" max="12338" width="20.7109375" style="2" customWidth="1"/>
    <col min="12339" max="12339" width="33.5703125" style="2" customWidth="1"/>
    <col min="12340" max="12340" width="22.85546875" style="2" customWidth="1"/>
    <col min="12341" max="12341" width="0" style="2" hidden="1" customWidth="1"/>
    <col min="12342" max="12342" width="19.5703125" style="2" customWidth="1"/>
    <col min="12343" max="12344" width="0" style="2" hidden="1" customWidth="1"/>
    <col min="12345" max="12531" width="10.7109375" style="2"/>
    <col min="12532" max="12532" width="9" style="2" customWidth="1"/>
    <col min="12533" max="12533" width="39.7109375" style="2" customWidth="1"/>
    <col min="12534" max="12534" width="17.28515625" style="2" customWidth="1"/>
    <col min="12535" max="12535" width="0" style="2" hidden="1" customWidth="1"/>
    <col min="12536" max="12536" width="7.42578125" style="2" customWidth="1"/>
    <col min="12537" max="12539" width="10.28515625" style="2" customWidth="1"/>
    <col min="12540" max="12540" width="13.5703125" style="2" customWidth="1"/>
    <col min="12541" max="12542" width="8.5703125" style="2" customWidth="1"/>
    <col min="12543" max="12543" width="9.5703125" style="2" customWidth="1"/>
    <col min="12544" max="12546" width="8.5703125" style="2" customWidth="1"/>
    <col min="12547" max="12553" width="9.5703125" style="2" customWidth="1"/>
    <col min="12554" max="12554" width="11.85546875" style="2" customWidth="1"/>
    <col min="12555" max="12556" width="11.7109375" style="2" customWidth="1"/>
    <col min="12557" max="12557" width="9.5703125" style="2" customWidth="1"/>
    <col min="12558" max="12558" width="8" style="2" customWidth="1"/>
    <col min="12559" max="12559" width="9.5703125" style="2" customWidth="1"/>
    <col min="12560" max="12560" width="8" style="2" customWidth="1"/>
    <col min="12561" max="12561" width="9.5703125" style="2" customWidth="1"/>
    <col min="12562" max="12562" width="7.28515625" style="2" customWidth="1"/>
    <col min="12563" max="12563" width="7.7109375" style="2" customWidth="1"/>
    <col min="12564" max="12564" width="9.5703125" style="2" customWidth="1"/>
    <col min="12565" max="12565" width="8.5703125" style="2" customWidth="1"/>
    <col min="12566" max="12566" width="8" style="2" customWidth="1"/>
    <col min="12567" max="12567" width="9.5703125" style="2" customWidth="1"/>
    <col min="12568" max="12568" width="8" style="2" customWidth="1"/>
    <col min="12569" max="12569" width="8.28515625" style="2" customWidth="1"/>
    <col min="12570" max="12571" width="8" style="2" customWidth="1"/>
    <col min="12572" max="12572" width="7.28515625" style="2" customWidth="1"/>
    <col min="12573" max="12574" width="9.5703125" style="2" customWidth="1"/>
    <col min="12575" max="12575" width="8" style="2" customWidth="1"/>
    <col min="12576" max="12578" width="9.5703125" style="2" customWidth="1"/>
    <col min="12579" max="12579" width="7.7109375" style="2" customWidth="1"/>
    <col min="12580" max="12580" width="8.28515625" style="2" customWidth="1"/>
    <col min="12581" max="12581" width="7.7109375" style="2" customWidth="1"/>
    <col min="12582" max="12583" width="8" style="2" customWidth="1"/>
    <col min="12584" max="12587" width="9.5703125" style="2" customWidth="1"/>
    <col min="12588" max="12588" width="8" style="2" customWidth="1"/>
    <col min="12589" max="12589" width="8.5703125" style="2" customWidth="1"/>
    <col min="12590" max="12590" width="9.5703125" style="2" customWidth="1"/>
    <col min="12591" max="12591" width="7.28515625" style="2" customWidth="1"/>
    <col min="12592" max="12592" width="7.7109375" style="2" customWidth="1"/>
    <col min="12593" max="12593" width="22.42578125" style="2" customWidth="1"/>
    <col min="12594" max="12594" width="20.7109375" style="2" customWidth="1"/>
    <col min="12595" max="12595" width="33.5703125" style="2" customWidth="1"/>
    <col min="12596" max="12596" width="22.85546875" style="2" customWidth="1"/>
    <col min="12597" max="12597" width="0" style="2" hidden="1" customWidth="1"/>
    <col min="12598" max="12598" width="19.5703125" style="2" customWidth="1"/>
    <col min="12599" max="12600" width="0" style="2" hidden="1" customWidth="1"/>
    <col min="12601" max="12787" width="10.7109375" style="2"/>
    <col min="12788" max="12788" width="9" style="2" customWidth="1"/>
    <col min="12789" max="12789" width="39.7109375" style="2" customWidth="1"/>
    <col min="12790" max="12790" width="17.28515625" style="2" customWidth="1"/>
    <col min="12791" max="12791" width="0" style="2" hidden="1" customWidth="1"/>
    <col min="12792" max="12792" width="7.42578125" style="2" customWidth="1"/>
    <col min="12793" max="12795" width="10.28515625" style="2" customWidth="1"/>
    <col min="12796" max="12796" width="13.5703125" style="2" customWidth="1"/>
    <col min="12797" max="12798" width="8.5703125" style="2" customWidth="1"/>
    <col min="12799" max="12799" width="9.5703125" style="2" customWidth="1"/>
    <col min="12800" max="12802" width="8.5703125" style="2" customWidth="1"/>
    <col min="12803" max="12809" width="9.5703125" style="2" customWidth="1"/>
    <col min="12810" max="12810" width="11.85546875" style="2" customWidth="1"/>
    <col min="12811" max="12812" width="11.7109375" style="2" customWidth="1"/>
    <col min="12813" max="12813" width="9.5703125" style="2" customWidth="1"/>
    <col min="12814" max="12814" width="8" style="2" customWidth="1"/>
    <col min="12815" max="12815" width="9.5703125" style="2" customWidth="1"/>
    <col min="12816" max="12816" width="8" style="2" customWidth="1"/>
    <col min="12817" max="12817" width="9.5703125" style="2" customWidth="1"/>
    <col min="12818" max="12818" width="7.28515625" style="2" customWidth="1"/>
    <col min="12819" max="12819" width="7.7109375" style="2" customWidth="1"/>
    <col min="12820" max="12820" width="9.5703125" style="2" customWidth="1"/>
    <col min="12821" max="12821" width="8.5703125" style="2" customWidth="1"/>
    <col min="12822" max="12822" width="8" style="2" customWidth="1"/>
    <col min="12823" max="12823" width="9.5703125" style="2" customWidth="1"/>
    <col min="12824" max="12824" width="8" style="2" customWidth="1"/>
    <col min="12825" max="12825" width="8.28515625" style="2" customWidth="1"/>
    <col min="12826" max="12827" width="8" style="2" customWidth="1"/>
    <col min="12828" max="12828" width="7.28515625" style="2" customWidth="1"/>
    <col min="12829" max="12830" width="9.5703125" style="2" customWidth="1"/>
    <col min="12831" max="12831" width="8" style="2" customWidth="1"/>
    <col min="12832" max="12834" width="9.5703125" style="2" customWidth="1"/>
    <col min="12835" max="12835" width="7.7109375" style="2" customWidth="1"/>
    <col min="12836" max="12836" width="8.28515625" style="2" customWidth="1"/>
    <col min="12837" max="12837" width="7.7109375" style="2" customWidth="1"/>
    <col min="12838" max="12839" width="8" style="2" customWidth="1"/>
    <col min="12840" max="12843" width="9.5703125" style="2" customWidth="1"/>
    <col min="12844" max="12844" width="8" style="2" customWidth="1"/>
    <col min="12845" max="12845" width="8.5703125" style="2" customWidth="1"/>
    <col min="12846" max="12846" width="9.5703125" style="2" customWidth="1"/>
    <col min="12847" max="12847" width="7.28515625" style="2" customWidth="1"/>
    <col min="12848" max="12848" width="7.7109375" style="2" customWidth="1"/>
    <col min="12849" max="12849" width="22.42578125" style="2" customWidth="1"/>
    <col min="12850" max="12850" width="20.7109375" style="2" customWidth="1"/>
    <col min="12851" max="12851" width="33.5703125" style="2" customWidth="1"/>
    <col min="12852" max="12852" width="22.85546875" style="2" customWidth="1"/>
    <col min="12853" max="12853" width="0" style="2" hidden="1" customWidth="1"/>
    <col min="12854" max="12854" width="19.5703125" style="2" customWidth="1"/>
    <col min="12855" max="12856" width="0" style="2" hidden="1" customWidth="1"/>
    <col min="12857" max="13043" width="10.7109375" style="2"/>
    <col min="13044" max="13044" width="9" style="2" customWidth="1"/>
    <col min="13045" max="13045" width="39.7109375" style="2" customWidth="1"/>
    <col min="13046" max="13046" width="17.28515625" style="2" customWidth="1"/>
    <col min="13047" max="13047" width="0" style="2" hidden="1" customWidth="1"/>
    <col min="13048" max="13048" width="7.42578125" style="2" customWidth="1"/>
    <col min="13049" max="13051" width="10.28515625" style="2" customWidth="1"/>
    <col min="13052" max="13052" width="13.5703125" style="2" customWidth="1"/>
    <col min="13053" max="13054" width="8.5703125" style="2" customWidth="1"/>
    <col min="13055" max="13055" width="9.5703125" style="2" customWidth="1"/>
    <col min="13056" max="13058" width="8.5703125" style="2" customWidth="1"/>
    <col min="13059" max="13065" width="9.5703125" style="2" customWidth="1"/>
    <col min="13066" max="13066" width="11.85546875" style="2" customWidth="1"/>
    <col min="13067" max="13068" width="11.7109375" style="2" customWidth="1"/>
    <col min="13069" max="13069" width="9.5703125" style="2" customWidth="1"/>
    <col min="13070" max="13070" width="8" style="2" customWidth="1"/>
    <col min="13071" max="13071" width="9.5703125" style="2" customWidth="1"/>
    <col min="13072" max="13072" width="8" style="2" customWidth="1"/>
    <col min="13073" max="13073" width="9.5703125" style="2" customWidth="1"/>
    <col min="13074" max="13074" width="7.28515625" style="2" customWidth="1"/>
    <col min="13075" max="13075" width="7.7109375" style="2" customWidth="1"/>
    <col min="13076" max="13076" width="9.5703125" style="2" customWidth="1"/>
    <col min="13077" max="13077" width="8.5703125" style="2" customWidth="1"/>
    <col min="13078" max="13078" width="8" style="2" customWidth="1"/>
    <col min="13079" max="13079" width="9.5703125" style="2" customWidth="1"/>
    <col min="13080" max="13080" width="8" style="2" customWidth="1"/>
    <col min="13081" max="13081" width="8.28515625" style="2" customWidth="1"/>
    <col min="13082" max="13083" width="8" style="2" customWidth="1"/>
    <col min="13084" max="13084" width="7.28515625" style="2" customWidth="1"/>
    <col min="13085" max="13086" width="9.5703125" style="2" customWidth="1"/>
    <col min="13087" max="13087" width="8" style="2" customWidth="1"/>
    <col min="13088" max="13090" width="9.5703125" style="2" customWidth="1"/>
    <col min="13091" max="13091" width="7.7109375" style="2" customWidth="1"/>
    <col min="13092" max="13092" width="8.28515625" style="2" customWidth="1"/>
    <col min="13093" max="13093" width="7.7109375" style="2" customWidth="1"/>
    <col min="13094" max="13095" width="8" style="2" customWidth="1"/>
    <col min="13096" max="13099" width="9.5703125" style="2" customWidth="1"/>
    <col min="13100" max="13100" width="8" style="2" customWidth="1"/>
    <col min="13101" max="13101" width="8.5703125" style="2" customWidth="1"/>
    <col min="13102" max="13102" width="9.5703125" style="2" customWidth="1"/>
    <col min="13103" max="13103" width="7.28515625" style="2" customWidth="1"/>
    <col min="13104" max="13104" width="7.7109375" style="2" customWidth="1"/>
    <col min="13105" max="13105" width="22.42578125" style="2" customWidth="1"/>
    <col min="13106" max="13106" width="20.7109375" style="2" customWidth="1"/>
    <col min="13107" max="13107" width="33.5703125" style="2" customWidth="1"/>
    <col min="13108" max="13108" width="22.85546875" style="2" customWidth="1"/>
    <col min="13109" max="13109" width="0" style="2" hidden="1" customWidth="1"/>
    <col min="13110" max="13110" width="19.5703125" style="2" customWidth="1"/>
    <col min="13111" max="13112" width="0" style="2" hidden="1" customWidth="1"/>
    <col min="13113" max="13299" width="10.7109375" style="2"/>
    <col min="13300" max="13300" width="9" style="2" customWidth="1"/>
    <col min="13301" max="13301" width="39.7109375" style="2" customWidth="1"/>
    <col min="13302" max="13302" width="17.28515625" style="2" customWidth="1"/>
    <col min="13303" max="13303" width="0" style="2" hidden="1" customWidth="1"/>
    <col min="13304" max="13304" width="7.42578125" style="2" customWidth="1"/>
    <col min="13305" max="13307" width="10.28515625" style="2" customWidth="1"/>
    <col min="13308" max="13308" width="13.5703125" style="2" customWidth="1"/>
    <col min="13309" max="13310" width="8.5703125" style="2" customWidth="1"/>
    <col min="13311" max="13311" width="9.5703125" style="2" customWidth="1"/>
    <col min="13312" max="13314" width="8.5703125" style="2" customWidth="1"/>
    <col min="13315" max="13321" width="9.5703125" style="2" customWidth="1"/>
    <col min="13322" max="13322" width="11.85546875" style="2" customWidth="1"/>
    <col min="13323" max="13324" width="11.7109375" style="2" customWidth="1"/>
    <col min="13325" max="13325" width="9.5703125" style="2" customWidth="1"/>
    <col min="13326" max="13326" width="8" style="2" customWidth="1"/>
    <col min="13327" max="13327" width="9.5703125" style="2" customWidth="1"/>
    <col min="13328" max="13328" width="8" style="2" customWidth="1"/>
    <col min="13329" max="13329" width="9.5703125" style="2" customWidth="1"/>
    <col min="13330" max="13330" width="7.28515625" style="2" customWidth="1"/>
    <col min="13331" max="13331" width="7.7109375" style="2" customWidth="1"/>
    <col min="13332" max="13332" width="9.5703125" style="2" customWidth="1"/>
    <col min="13333" max="13333" width="8.5703125" style="2" customWidth="1"/>
    <col min="13334" max="13334" width="8" style="2" customWidth="1"/>
    <col min="13335" max="13335" width="9.5703125" style="2" customWidth="1"/>
    <col min="13336" max="13336" width="8" style="2" customWidth="1"/>
    <col min="13337" max="13337" width="8.28515625" style="2" customWidth="1"/>
    <col min="13338" max="13339" width="8" style="2" customWidth="1"/>
    <col min="13340" max="13340" width="7.28515625" style="2" customWidth="1"/>
    <col min="13341" max="13342" width="9.5703125" style="2" customWidth="1"/>
    <col min="13343" max="13343" width="8" style="2" customWidth="1"/>
    <col min="13344" max="13346" width="9.5703125" style="2" customWidth="1"/>
    <col min="13347" max="13347" width="7.7109375" style="2" customWidth="1"/>
    <col min="13348" max="13348" width="8.28515625" style="2" customWidth="1"/>
    <col min="13349" max="13349" width="7.7109375" style="2" customWidth="1"/>
    <col min="13350" max="13351" width="8" style="2" customWidth="1"/>
    <col min="13352" max="13355" width="9.5703125" style="2" customWidth="1"/>
    <col min="13356" max="13356" width="8" style="2" customWidth="1"/>
    <col min="13357" max="13357" width="8.5703125" style="2" customWidth="1"/>
    <col min="13358" max="13358" width="9.5703125" style="2" customWidth="1"/>
    <col min="13359" max="13359" width="7.28515625" style="2" customWidth="1"/>
    <col min="13360" max="13360" width="7.7109375" style="2" customWidth="1"/>
    <col min="13361" max="13361" width="22.42578125" style="2" customWidth="1"/>
    <col min="13362" max="13362" width="20.7109375" style="2" customWidth="1"/>
    <col min="13363" max="13363" width="33.5703125" style="2" customWidth="1"/>
    <col min="13364" max="13364" width="22.85546875" style="2" customWidth="1"/>
    <col min="13365" max="13365" width="0" style="2" hidden="1" customWidth="1"/>
    <col min="13366" max="13366" width="19.5703125" style="2" customWidth="1"/>
    <col min="13367" max="13368" width="0" style="2" hidden="1" customWidth="1"/>
    <col min="13369" max="13555" width="10.7109375" style="2"/>
    <col min="13556" max="13556" width="9" style="2" customWidth="1"/>
    <col min="13557" max="13557" width="39.7109375" style="2" customWidth="1"/>
    <col min="13558" max="13558" width="17.28515625" style="2" customWidth="1"/>
    <col min="13559" max="13559" width="0" style="2" hidden="1" customWidth="1"/>
    <col min="13560" max="13560" width="7.42578125" style="2" customWidth="1"/>
    <col min="13561" max="13563" width="10.28515625" style="2" customWidth="1"/>
    <col min="13564" max="13564" width="13.5703125" style="2" customWidth="1"/>
    <col min="13565" max="13566" width="8.5703125" style="2" customWidth="1"/>
    <col min="13567" max="13567" width="9.5703125" style="2" customWidth="1"/>
    <col min="13568" max="13570" width="8.5703125" style="2" customWidth="1"/>
    <col min="13571" max="13577" width="9.5703125" style="2" customWidth="1"/>
    <col min="13578" max="13578" width="11.85546875" style="2" customWidth="1"/>
    <col min="13579" max="13580" width="11.7109375" style="2" customWidth="1"/>
    <col min="13581" max="13581" width="9.5703125" style="2" customWidth="1"/>
    <col min="13582" max="13582" width="8" style="2" customWidth="1"/>
    <col min="13583" max="13583" width="9.5703125" style="2" customWidth="1"/>
    <col min="13584" max="13584" width="8" style="2" customWidth="1"/>
    <col min="13585" max="13585" width="9.5703125" style="2" customWidth="1"/>
    <col min="13586" max="13586" width="7.28515625" style="2" customWidth="1"/>
    <col min="13587" max="13587" width="7.7109375" style="2" customWidth="1"/>
    <col min="13588" max="13588" width="9.5703125" style="2" customWidth="1"/>
    <col min="13589" max="13589" width="8.5703125" style="2" customWidth="1"/>
    <col min="13590" max="13590" width="8" style="2" customWidth="1"/>
    <col min="13591" max="13591" width="9.5703125" style="2" customWidth="1"/>
    <col min="13592" max="13592" width="8" style="2" customWidth="1"/>
    <col min="13593" max="13593" width="8.28515625" style="2" customWidth="1"/>
    <col min="13594" max="13595" width="8" style="2" customWidth="1"/>
    <col min="13596" max="13596" width="7.28515625" style="2" customWidth="1"/>
    <col min="13597" max="13598" width="9.5703125" style="2" customWidth="1"/>
    <col min="13599" max="13599" width="8" style="2" customWidth="1"/>
    <col min="13600" max="13602" width="9.5703125" style="2" customWidth="1"/>
    <col min="13603" max="13603" width="7.7109375" style="2" customWidth="1"/>
    <col min="13604" max="13604" width="8.28515625" style="2" customWidth="1"/>
    <col min="13605" max="13605" width="7.7109375" style="2" customWidth="1"/>
    <col min="13606" max="13607" width="8" style="2" customWidth="1"/>
    <col min="13608" max="13611" width="9.5703125" style="2" customWidth="1"/>
    <col min="13612" max="13612" width="8" style="2" customWidth="1"/>
    <col min="13613" max="13613" width="8.5703125" style="2" customWidth="1"/>
    <col min="13614" max="13614" width="9.5703125" style="2" customWidth="1"/>
    <col min="13615" max="13615" width="7.28515625" style="2" customWidth="1"/>
    <col min="13616" max="13616" width="7.7109375" style="2" customWidth="1"/>
    <col min="13617" max="13617" width="22.42578125" style="2" customWidth="1"/>
    <col min="13618" max="13618" width="20.7109375" style="2" customWidth="1"/>
    <col min="13619" max="13619" width="33.5703125" style="2" customWidth="1"/>
    <col min="13620" max="13620" width="22.85546875" style="2" customWidth="1"/>
    <col min="13621" max="13621" width="0" style="2" hidden="1" customWidth="1"/>
    <col min="13622" max="13622" width="19.5703125" style="2" customWidth="1"/>
    <col min="13623" max="13624" width="0" style="2" hidden="1" customWidth="1"/>
    <col min="13625" max="13811" width="10.7109375" style="2"/>
    <col min="13812" max="13812" width="9" style="2" customWidth="1"/>
    <col min="13813" max="13813" width="39.7109375" style="2" customWidth="1"/>
    <col min="13814" max="13814" width="17.28515625" style="2" customWidth="1"/>
    <col min="13815" max="13815" width="0" style="2" hidden="1" customWidth="1"/>
    <col min="13816" max="13816" width="7.42578125" style="2" customWidth="1"/>
    <col min="13817" max="13819" width="10.28515625" style="2" customWidth="1"/>
    <col min="13820" max="13820" width="13.5703125" style="2" customWidth="1"/>
    <col min="13821" max="13822" width="8.5703125" style="2" customWidth="1"/>
    <col min="13823" max="13823" width="9.5703125" style="2" customWidth="1"/>
    <col min="13824" max="13826" width="8.5703125" style="2" customWidth="1"/>
    <col min="13827" max="13833" width="9.5703125" style="2" customWidth="1"/>
    <col min="13834" max="13834" width="11.85546875" style="2" customWidth="1"/>
    <col min="13835" max="13836" width="11.7109375" style="2" customWidth="1"/>
    <col min="13837" max="13837" width="9.5703125" style="2" customWidth="1"/>
    <col min="13838" max="13838" width="8" style="2" customWidth="1"/>
    <col min="13839" max="13839" width="9.5703125" style="2" customWidth="1"/>
    <col min="13840" max="13840" width="8" style="2" customWidth="1"/>
    <col min="13841" max="13841" width="9.5703125" style="2" customWidth="1"/>
    <col min="13842" max="13842" width="7.28515625" style="2" customWidth="1"/>
    <col min="13843" max="13843" width="7.7109375" style="2" customWidth="1"/>
    <col min="13844" max="13844" width="9.5703125" style="2" customWidth="1"/>
    <col min="13845" max="13845" width="8.5703125" style="2" customWidth="1"/>
    <col min="13846" max="13846" width="8" style="2" customWidth="1"/>
    <col min="13847" max="13847" width="9.5703125" style="2" customWidth="1"/>
    <col min="13848" max="13848" width="8" style="2" customWidth="1"/>
    <col min="13849" max="13849" width="8.28515625" style="2" customWidth="1"/>
    <col min="13850" max="13851" width="8" style="2" customWidth="1"/>
    <col min="13852" max="13852" width="7.28515625" style="2" customWidth="1"/>
    <col min="13853" max="13854" width="9.5703125" style="2" customWidth="1"/>
    <col min="13855" max="13855" width="8" style="2" customWidth="1"/>
    <col min="13856" max="13858" width="9.5703125" style="2" customWidth="1"/>
    <col min="13859" max="13859" width="7.7109375" style="2" customWidth="1"/>
    <col min="13860" max="13860" width="8.28515625" style="2" customWidth="1"/>
    <col min="13861" max="13861" width="7.7109375" style="2" customWidth="1"/>
    <col min="13862" max="13863" width="8" style="2" customWidth="1"/>
    <col min="13864" max="13867" width="9.5703125" style="2" customWidth="1"/>
    <col min="13868" max="13868" width="8" style="2" customWidth="1"/>
    <col min="13869" max="13869" width="8.5703125" style="2" customWidth="1"/>
    <col min="13870" max="13870" width="9.5703125" style="2" customWidth="1"/>
    <col min="13871" max="13871" width="7.28515625" style="2" customWidth="1"/>
    <col min="13872" max="13872" width="7.7109375" style="2" customWidth="1"/>
    <col min="13873" max="13873" width="22.42578125" style="2" customWidth="1"/>
    <col min="13874" max="13874" width="20.7109375" style="2" customWidth="1"/>
    <col min="13875" max="13875" width="33.5703125" style="2" customWidth="1"/>
    <col min="13876" max="13876" width="22.85546875" style="2" customWidth="1"/>
    <col min="13877" max="13877" width="0" style="2" hidden="1" customWidth="1"/>
    <col min="13878" max="13878" width="19.5703125" style="2" customWidth="1"/>
    <col min="13879" max="13880" width="0" style="2" hidden="1" customWidth="1"/>
    <col min="13881" max="14067" width="10.7109375" style="2"/>
    <col min="14068" max="14068" width="9" style="2" customWidth="1"/>
    <col min="14069" max="14069" width="39.7109375" style="2" customWidth="1"/>
    <col min="14070" max="14070" width="17.28515625" style="2" customWidth="1"/>
    <col min="14071" max="14071" width="0" style="2" hidden="1" customWidth="1"/>
    <col min="14072" max="14072" width="7.42578125" style="2" customWidth="1"/>
    <col min="14073" max="14075" width="10.28515625" style="2" customWidth="1"/>
    <col min="14076" max="14076" width="13.5703125" style="2" customWidth="1"/>
    <col min="14077" max="14078" width="8.5703125" style="2" customWidth="1"/>
    <col min="14079" max="14079" width="9.5703125" style="2" customWidth="1"/>
    <col min="14080" max="14082" width="8.5703125" style="2" customWidth="1"/>
    <col min="14083" max="14089" width="9.5703125" style="2" customWidth="1"/>
    <col min="14090" max="14090" width="11.85546875" style="2" customWidth="1"/>
    <col min="14091" max="14092" width="11.7109375" style="2" customWidth="1"/>
    <col min="14093" max="14093" width="9.5703125" style="2" customWidth="1"/>
    <col min="14094" max="14094" width="8" style="2" customWidth="1"/>
    <col min="14095" max="14095" width="9.5703125" style="2" customWidth="1"/>
    <col min="14096" max="14096" width="8" style="2" customWidth="1"/>
    <col min="14097" max="14097" width="9.5703125" style="2" customWidth="1"/>
    <col min="14098" max="14098" width="7.28515625" style="2" customWidth="1"/>
    <col min="14099" max="14099" width="7.7109375" style="2" customWidth="1"/>
    <col min="14100" max="14100" width="9.5703125" style="2" customWidth="1"/>
    <col min="14101" max="14101" width="8.5703125" style="2" customWidth="1"/>
    <col min="14102" max="14102" width="8" style="2" customWidth="1"/>
    <col min="14103" max="14103" width="9.5703125" style="2" customWidth="1"/>
    <col min="14104" max="14104" width="8" style="2" customWidth="1"/>
    <col min="14105" max="14105" width="8.28515625" style="2" customWidth="1"/>
    <col min="14106" max="14107" width="8" style="2" customWidth="1"/>
    <col min="14108" max="14108" width="7.28515625" style="2" customWidth="1"/>
    <col min="14109" max="14110" width="9.5703125" style="2" customWidth="1"/>
    <col min="14111" max="14111" width="8" style="2" customWidth="1"/>
    <col min="14112" max="14114" width="9.5703125" style="2" customWidth="1"/>
    <col min="14115" max="14115" width="7.7109375" style="2" customWidth="1"/>
    <col min="14116" max="14116" width="8.28515625" style="2" customWidth="1"/>
    <col min="14117" max="14117" width="7.7109375" style="2" customWidth="1"/>
    <col min="14118" max="14119" width="8" style="2" customWidth="1"/>
    <col min="14120" max="14123" width="9.5703125" style="2" customWidth="1"/>
    <col min="14124" max="14124" width="8" style="2" customWidth="1"/>
    <col min="14125" max="14125" width="8.5703125" style="2" customWidth="1"/>
    <col min="14126" max="14126" width="9.5703125" style="2" customWidth="1"/>
    <col min="14127" max="14127" width="7.28515625" style="2" customWidth="1"/>
    <col min="14128" max="14128" width="7.7109375" style="2" customWidth="1"/>
    <col min="14129" max="14129" width="22.42578125" style="2" customWidth="1"/>
    <col min="14130" max="14130" width="20.7109375" style="2" customWidth="1"/>
    <col min="14131" max="14131" width="33.5703125" style="2" customWidth="1"/>
    <col min="14132" max="14132" width="22.85546875" style="2" customWidth="1"/>
    <col min="14133" max="14133" width="0" style="2" hidden="1" customWidth="1"/>
    <col min="14134" max="14134" width="19.5703125" style="2" customWidth="1"/>
    <col min="14135" max="14136" width="0" style="2" hidden="1" customWidth="1"/>
    <col min="14137" max="14323" width="10.7109375" style="2"/>
    <col min="14324" max="14324" width="9" style="2" customWidth="1"/>
    <col min="14325" max="14325" width="39.7109375" style="2" customWidth="1"/>
    <col min="14326" max="14326" width="17.28515625" style="2" customWidth="1"/>
    <col min="14327" max="14327" width="0" style="2" hidden="1" customWidth="1"/>
    <col min="14328" max="14328" width="7.42578125" style="2" customWidth="1"/>
    <col min="14329" max="14331" width="10.28515625" style="2" customWidth="1"/>
    <col min="14332" max="14332" width="13.5703125" style="2" customWidth="1"/>
    <col min="14333" max="14334" width="8.5703125" style="2" customWidth="1"/>
    <col min="14335" max="14335" width="9.5703125" style="2" customWidth="1"/>
    <col min="14336" max="14338" width="8.5703125" style="2" customWidth="1"/>
    <col min="14339" max="14345" width="9.5703125" style="2" customWidth="1"/>
    <col min="14346" max="14346" width="11.85546875" style="2" customWidth="1"/>
    <col min="14347" max="14348" width="11.7109375" style="2" customWidth="1"/>
    <col min="14349" max="14349" width="9.5703125" style="2" customWidth="1"/>
    <col min="14350" max="14350" width="8" style="2" customWidth="1"/>
    <col min="14351" max="14351" width="9.5703125" style="2" customWidth="1"/>
    <col min="14352" max="14352" width="8" style="2" customWidth="1"/>
    <col min="14353" max="14353" width="9.5703125" style="2" customWidth="1"/>
    <col min="14354" max="14354" width="7.28515625" style="2" customWidth="1"/>
    <col min="14355" max="14355" width="7.7109375" style="2" customWidth="1"/>
    <col min="14356" max="14356" width="9.5703125" style="2" customWidth="1"/>
    <col min="14357" max="14357" width="8.5703125" style="2" customWidth="1"/>
    <col min="14358" max="14358" width="8" style="2" customWidth="1"/>
    <col min="14359" max="14359" width="9.5703125" style="2" customWidth="1"/>
    <col min="14360" max="14360" width="8" style="2" customWidth="1"/>
    <col min="14361" max="14361" width="8.28515625" style="2" customWidth="1"/>
    <col min="14362" max="14363" width="8" style="2" customWidth="1"/>
    <col min="14364" max="14364" width="7.28515625" style="2" customWidth="1"/>
    <col min="14365" max="14366" width="9.5703125" style="2" customWidth="1"/>
    <col min="14367" max="14367" width="8" style="2" customWidth="1"/>
    <col min="14368" max="14370" width="9.5703125" style="2" customWidth="1"/>
    <col min="14371" max="14371" width="7.7109375" style="2" customWidth="1"/>
    <col min="14372" max="14372" width="8.28515625" style="2" customWidth="1"/>
    <col min="14373" max="14373" width="7.7109375" style="2" customWidth="1"/>
    <col min="14374" max="14375" width="8" style="2" customWidth="1"/>
    <col min="14376" max="14379" width="9.5703125" style="2" customWidth="1"/>
    <col min="14380" max="14380" width="8" style="2" customWidth="1"/>
    <col min="14381" max="14381" width="8.5703125" style="2" customWidth="1"/>
    <col min="14382" max="14382" width="9.5703125" style="2" customWidth="1"/>
    <col min="14383" max="14383" width="7.28515625" style="2" customWidth="1"/>
    <col min="14384" max="14384" width="7.7109375" style="2" customWidth="1"/>
    <col min="14385" max="14385" width="22.42578125" style="2" customWidth="1"/>
    <col min="14386" max="14386" width="20.7109375" style="2" customWidth="1"/>
    <col min="14387" max="14387" width="33.5703125" style="2" customWidth="1"/>
    <col min="14388" max="14388" width="22.85546875" style="2" customWidth="1"/>
    <col min="14389" max="14389" width="0" style="2" hidden="1" customWidth="1"/>
    <col min="14390" max="14390" width="19.5703125" style="2" customWidth="1"/>
    <col min="14391" max="14392" width="0" style="2" hidden="1" customWidth="1"/>
    <col min="14393" max="14579" width="10.7109375" style="2"/>
    <col min="14580" max="14580" width="9" style="2" customWidth="1"/>
    <col min="14581" max="14581" width="39.7109375" style="2" customWidth="1"/>
    <col min="14582" max="14582" width="17.28515625" style="2" customWidth="1"/>
    <col min="14583" max="14583" width="0" style="2" hidden="1" customWidth="1"/>
    <col min="14584" max="14584" width="7.42578125" style="2" customWidth="1"/>
    <col min="14585" max="14587" width="10.28515625" style="2" customWidth="1"/>
    <col min="14588" max="14588" width="13.5703125" style="2" customWidth="1"/>
    <col min="14589" max="14590" width="8.5703125" style="2" customWidth="1"/>
    <col min="14591" max="14591" width="9.5703125" style="2" customWidth="1"/>
    <col min="14592" max="14594" width="8.5703125" style="2" customWidth="1"/>
    <col min="14595" max="14601" width="9.5703125" style="2" customWidth="1"/>
    <col min="14602" max="14602" width="11.85546875" style="2" customWidth="1"/>
    <col min="14603" max="14604" width="11.7109375" style="2" customWidth="1"/>
    <col min="14605" max="14605" width="9.5703125" style="2" customWidth="1"/>
    <col min="14606" max="14606" width="8" style="2" customWidth="1"/>
    <col min="14607" max="14607" width="9.5703125" style="2" customWidth="1"/>
    <col min="14608" max="14608" width="8" style="2" customWidth="1"/>
    <col min="14609" max="14609" width="9.5703125" style="2" customWidth="1"/>
    <col min="14610" max="14610" width="7.28515625" style="2" customWidth="1"/>
    <col min="14611" max="14611" width="7.7109375" style="2" customWidth="1"/>
    <col min="14612" max="14612" width="9.5703125" style="2" customWidth="1"/>
    <col min="14613" max="14613" width="8.5703125" style="2" customWidth="1"/>
    <col min="14614" max="14614" width="8" style="2" customWidth="1"/>
    <col min="14615" max="14615" width="9.5703125" style="2" customWidth="1"/>
    <col min="14616" max="14616" width="8" style="2" customWidth="1"/>
    <col min="14617" max="14617" width="8.28515625" style="2" customWidth="1"/>
    <col min="14618" max="14619" width="8" style="2" customWidth="1"/>
    <col min="14620" max="14620" width="7.28515625" style="2" customWidth="1"/>
    <col min="14621" max="14622" width="9.5703125" style="2" customWidth="1"/>
    <col min="14623" max="14623" width="8" style="2" customWidth="1"/>
    <col min="14624" max="14626" width="9.5703125" style="2" customWidth="1"/>
    <col min="14627" max="14627" width="7.7109375" style="2" customWidth="1"/>
    <col min="14628" max="14628" width="8.28515625" style="2" customWidth="1"/>
    <col min="14629" max="14629" width="7.7109375" style="2" customWidth="1"/>
    <col min="14630" max="14631" width="8" style="2" customWidth="1"/>
    <col min="14632" max="14635" width="9.5703125" style="2" customWidth="1"/>
    <col min="14636" max="14636" width="8" style="2" customWidth="1"/>
    <col min="14637" max="14637" width="8.5703125" style="2" customWidth="1"/>
    <col min="14638" max="14638" width="9.5703125" style="2" customWidth="1"/>
    <col min="14639" max="14639" width="7.28515625" style="2" customWidth="1"/>
    <col min="14640" max="14640" width="7.7109375" style="2" customWidth="1"/>
    <col min="14641" max="14641" width="22.42578125" style="2" customWidth="1"/>
    <col min="14642" max="14642" width="20.7109375" style="2" customWidth="1"/>
    <col min="14643" max="14643" width="33.5703125" style="2" customWidth="1"/>
    <col min="14644" max="14644" width="22.85546875" style="2" customWidth="1"/>
    <col min="14645" max="14645" width="0" style="2" hidden="1" customWidth="1"/>
    <col min="14646" max="14646" width="19.5703125" style="2" customWidth="1"/>
    <col min="14647" max="14648" width="0" style="2" hidden="1" customWidth="1"/>
    <col min="14649" max="14835" width="10.7109375" style="2"/>
    <col min="14836" max="14836" width="9" style="2" customWidth="1"/>
    <col min="14837" max="14837" width="39.7109375" style="2" customWidth="1"/>
    <col min="14838" max="14838" width="17.28515625" style="2" customWidth="1"/>
    <col min="14839" max="14839" width="0" style="2" hidden="1" customWidth="1"/>
    <col min="14840" max="14840" width="7.42578125" style="2" customWidth="1"/>
    <col min="14841" max="14843" width="10.28515625" style="2" customWidth="1"/>
    <col min="14844" max="14844" width="13.5703125" style="2" customWidth="1"/>
    <col min="14845" max="14846" width="8.5703125" style="2" customWidth="1"/>
    <col min="14847" max="14847" width="9.5703125" style="2" customWidth="1"/>
    <col min="14848" max="14850" width="8.5703125" style="2" customWidth="1"/>
    <col min="14851" max="14857" width="9.5703125" style="2" customWidth="1"/>
    <col min="14858" max="14858" width="11.85546875" style="2" customWidth="1"/>
    <col min="14859" max="14860" width="11.7109375" style="2" customWidth="1"/>
    <col min="14861" max="14861" width="9.5703125" style="2" customWidth="1"/>
    <col min="14862" max="14862" width="8" style="2" customWidth="1"/>
    <col min="14863" max="14863" width="9.5703125" style="2" customWidth="1"/>
    <col min="14864" max="14864" width="8" style="2" customWidth="1"/>
    <col min="14865" max="14865" width="9.5703125" style="2" customWidth="1"/>
    <col min="14866" max="14866" width="7.28515625" style="2" customWidth="1"/>
    <col min="14867" max="14867" width="7.7109375" style="2" customWidth="1"/>
    <col min="14868" max="14868" width="9.5703125" style="2" customWidth="1"/>
    <col min="14869" max="14869" width="8.5703125" style="2" customWidth="1"/>
    <col min="14870" max="14870" width="8" style="2" customWidth="1"/>
    <col min="14871" max="14871" width="9.5703125" style="2" customWidth="1"/>
    <col min="14872" max="14872" width="8" style="2" customWidth="1"/>
    <col min="14873" max="14873" width="8.28515625" style="2" customWidth="1"/>
    <col min="14874" max="14875" width="8" style="2" customWidth="1"/>
    <col min="14876" max="14876" width="7.28515625" style="2" customWidth="1"/>
    <col min="14877" max="14878" width="9.5703125" style="2" customWidth="1"/>
    <col min="14879" max="14879" width="8" style="2" customWidth="1"/>
    <col min="14880" max="14882" width="9.5703125" style="2" customWidth="1"/>
    <col min="14883" max="14883" width="7.7109375" style="2" customWidth="1"/>
    <col min="14884" max="14884" width="8.28515625" style="2" customWidth="1"/>
    <col min="14885" max="14885" width="7.7109375" style="2" customWidth="1"/>
    <col min="14886" max="14887" width="8" style="2" customWidth="1"/>
    <col min="14888" max="14891" width="9.5703125" style="2" customWidth="1"/>
    <col min="14892" max="14892" width="8" style="2" customWidth="1"/>
    <col min="14893" max="14893" width="8.5703125" style="2" customWidth="1"/>
    <col min="14894" max="14894" width="9.5703125" style="2" customWidth="1"/>
    <col min="14895" max="14895" width="7.28515625" style="2" customWidth="1"/>
    <col min="14896" max="14896" width="7.7109375" style="2" customWidth="1"/>
    <col min="14897" max="14897" width="22.42578125" style="2" customWidth="1"/>
    <col min="14898" max="14898" width="20.7109375" style="2" customWidth="1"/>
    <col min="14899" max="14899" width="33.5703125" style="2" customWidth="1"/>
    <col min="14900" max="14900" width="22.85546875" style="2" customWidth="1"/>
    <col min="14901" max="14901" width="0" style="2" hidden="1" customWidth="1"/>
    <col min="14902" max="14902" width="19.5703125" style="2" customWidth="1"/>
    <col min="14903" max="14904" width="0" style="2" hidden="1" customWidth="1"/>
    <col min="14905" max="15091" width="10.7109375" style="2"/>
    <col min="15092" max="15092" width="9" style="2" customWidth="1"/>
    <col min="15093" max="15093" width="39.7109375" style="2" customWidth="1"/>
    <col min="15094" max="15094" width="17.28515625" style="2" customWidth="1"/>
    <col min="15095" max="15095" width="0" style="2" hidden="1" customWidth="1"/>
    <col min="15096" max="15096" width="7.42578125" style="2" customWidth="1"/>
    <col min="15097" max="15099" width="10.28515625" style="2" customWidth="1"/>
    <col min="15100" max="15100" width="13.5703125" style="2" customWidth="1"/>
    <col min="15101" max="15102" width="8.5703125" style="2" customWidth="1"/>
    <col min="15103" max="15103" width="9.5703125" style="2" customWidth="1"/>
    <col min="15104" max="15106" width="8.5703125" style="2" customWidth="1"/>
    <col min="15107" max="15113" width="9.5703125" style="2" customWidth="1"/>
    <col min="15114" max="15114" width="11.85546875" style="2" customWidth="1"/>
    <col min="15115" max="15116" width="11.7109375" style="2" customWidth="1"/>
    <col min="15117" max="15117" width="9.5703125" style="2" customWidth="1"/>
    <col min="15118" max="15118" width="8" style="2" customWidth="1"/>
    <col min="15119" max="15119" width="9.5703125" style="2" customWidth="1"/>
    <col min="15120" max="15120" width="8" style="2" customWidth="1"/>
    <col min="15121" max="15121" width="9.5703125" style="2" customWidth="1"/>
    <col min="15122" max="15122" width="7.28515625" style="2" customWidth="1"/>
    <col min="15123" max="15123" width="7.7109375" style="2" customWidth="1"/>
    <col min="15124" max="15124" width="9.5703125" style="2" customWidth="1"/>
    <col min="15125" max="15125" width="8.5703125" style="2" customWidth="1"/>
    <col min="15126" max="15126" width="8" style="2" customWidth="1"/>
    <col min="15127" max="15127" width="9.5703125" style="2" customWidth="1"/>
    <col min="15128" max="15128" width="8" style="2" customWidth="1"/>
    <col min="15129" max="15129" width="8.28515625" style="2" customWidth="1"/>
    <col min="15130" max="15131" width="8" style="2" customWidth="1"/>
    <col min="15132" max="15132" width="7.28515625" style="2" customWidth="1"/>
    <col min="15133" max="15134" width="9.5703125" style="2" customWidth="1"/>
    <col min="15135" max="15135" width="8" style="2" customWidth="1"/>
    <col min="15136" max="15138" width="9.5703125" style="2" customWidth="1"/>
    <col min="15139" max="15139" width="7.7109375" style="2" customWidth="1"/>
    <col min="15140" max="15140" width="8.28515625" style="2" customWidth="1"/>
    <col min="15141" max="15141" width="7.7109375" style="2" customWidth="1"/>
    <col min="15142" max="15143" width="8" style="2" customWidth="1"/>
    <col min="15144" max="15147" width="9.5703125" style="2" customWidth="1"/>
    <col min="15148" max="15148" width="8" style="2" customWidth="1"/>
    <col min="15149" max="15149" width="8.5703125" style="2" customWidth="1"/>
    <col min="15150" max="15150" width="9.5703125" style="2" customWidth="1"/>
    <col min="15151" max="15151" width="7.28515625" style="2" customWidth="1"/>
    <col min="15152" max="15152" width="7.7109375" style="2" customWidth="1"/>
    <col min="15153" max="15153" width="22.42578125" style="2" customWidth="1"/>
    <col min="15154" max="15154" width="20.7109375" style="2" customWidth="1"/>
    <col min="15155" max="15155" width="33.5703125" style="2" customWidth="1"/>
    <col min="15156" max="15156" width="22.85546875" style="2" customWidth="1"/>
    <col min="15157" max="15157" width="0" style="2" hidden="1" customWidth="1"/>
    <col min="15158" max="15158" width="19.5703125" style="2" customWidth="1"/>
    <col min="15159" max="15160" width="0" style="2" hidden="1" customWidth="1"/>
    <col min="15161" max="15347" width="10.7109375" style="2"/>
    <col min="15348" max="15348" width="9" style="2" customWidth="1"/>
    <col min="15349" max="15349" width="39.7109375" style="2" customWidth="1"/>
    <col min="15350" max="15350" width="17.28515625" style="2" customWidth="1"/>
    <col min="15351" max="15351" width="0" style="2" hidden="1" customWidth="1"/>
    <col min="15352" max="15352" width="7.42578125" style="2" customWidth="1"/>
    <col min="15353" max="15355" width="10.28515625" style="2" customWidth="1"/>
    <col min="15356" max="15356" width="13.5703125" style="2" customWidth="1"/>
    <col min="15357" max="15358" width="8.5703125" style="2" customWidth="1"/>
    <col min="15359" max="15359" width="9.5703125" style="2" customWidth="1"/>
    <col min="15360" max="15362" width="8.5703125" style="2" customWidth="1"/>
    <col min="15363" max="15369" width="9.5703125" style="2" customWidth="1"/>
    <col min="15370" max="15370" width="11.85546875" style="2" customWidth="1"/>
    <col min="15371" max="15372" width="11.7109375" style="2" customWidth="1"/>
    <col min="15373" max="15373" width="9.5703125" style="2" customWidth="1"/>
    <col min="15374" max="15374" width="8" style="2" customWidth="1"/>
    <col min="15375" max="15375" width="9.5703125" style="2" customWidth="1"/>
    <col min="15376" max="15376" width="8" style="2" customWidth="1"/>
    <col min="15377" max="15377" width="9.5703125" style="2" customWidth="1"/>
    <col min="15378" max="15378" width="7.28515625" style="2" customWidth="1"/>
    <col min="15379" max="15379" width="7.7109375" style="2" customWidth="1"/>
    <col min="15380" max="15380" width="9.5703125" style="2" customWidth="1"/>
    <col min="15381" max="15381" width="8.5703125" style="2" customWidth="1"/>
    <col min="15382" max="15382" width="8" style="2" customWidth="1"/>
    <col min="15383" max="15383" width="9.5703125" style="2" customWidth="1"/>
    <col min="15384" max="15384" width="8" style="2" customWidth="1"/>
    <col min="15385" max="15385" width="8.28515625" style="2" customWidth="1"/>
    <col min="15386" max="15387" width="8" style="2" customWidth="1"/>
    <col min="15388" max="15388" width="7.28515625" style="2" customWidth="1"/>
    <col min="15389" max="15390" width="9.5703125" style="2" customWidth="1"/>
    <col min="15391" max="15391" width="8" style="2" customWidth="1"/>
    <col min="15392" max="15394" width="9.5703125" style="2" customWidth="1"/>
    <col min="15395" max="15395" width="7.7109375" style="2" customWidth="1"/>
    <col min="15396" max="15396" width="8.28515625" style="2" customWidth="1"/>
    <col min="15397" max="15397" width="7.7109375" style="2" customWidth="1"/>
    <col min="15398" max="15399" width="8" style="2" customWidth="1"/>
    <col min="15400" max="15403" width="9.5703125" style="2" customWidth="1"/>
    <col min="15404" max="15404" width="8" style="2" customWidth="1"/>
    <col min="15405" max="15405" width="8.5703125" style="2" customWidth="1"/>
    <col min="15406" max="15406" width="9.5703125" style="2" customWidth="1"/>
    <col min="15407" max="15407" width="7.28515625" style="2" customWidth="1"/>
    <col min="15408" max="15408" width="7.7109375" style="2" customWidth="1"/>
    <col min="15409" max="15409" width="22.42578125" style="2" customWidth="1"/>
    <col min="15410" max="15410" width="20.7109375" style="2" customWidth="1"/>
    <col min="15411" max="15411" width="33.5703125" style="2" customWidth="1"/>
    <col min="15412" max="15412" width="22.85546875" style="2" customWidth="1"/>
    <col min="15413" max="15413" width="0" style="2" hidden="1" customWidth="1"/>
    <col min="15414" max="15414" width="19.5703125" style="2" customWidth="1"/>
    <col min="15415" max="15416" width="0" style="2" hidden="1" customWidth="1"/>
    <col min="15417" max="15603" width="10.7109375" style="2"/>
    <col min="15604" max="15604" width="9" style="2" customWidth="1"/>
    <col min="15605" max="15605" width="39.7109375" style="2" customWidth="1"/>
    <col min="15606" max="15606" width="17.28515625" style="2" customWidth="1"/>
    <col min="15607" max="15607" width="0" style="2" hidden="1" customWidth="1"/>
    <col min="15608" max="15608" width="7.42578125" style="2" customWidth="1"/>
    <col min="15609" max="15611" width="10.28515625" style="2" customWidth="1"/>
    <col min="15612" max="15612" width="13.5703125" style="2" customWidth="1"/>
    <col min="15613" max="15614" width="8.5703125" style="2" customWidth="1"/>
    <col min="15615" max="15615" width="9.5703125" style="2" customWidth="1"/>
    <col min="15616" max="15618" width="8.5703125" style="2" customWidth="1"/>
    <col min="15619" max="15625" width="9.5703125" style="2" customWidth="1"/>
    <col min="15626" max="15626" width="11.85546875" style="2" customWidth="1"/>
    <col min="15627" max="15628" width="11.7109375" style="2" customWidth="1"/>
    <col min="15629" max="15629" width="9.5703125" style="2" customWidth="1"/>
    <col min="15630" max="15630" width="8" style="2" customWidth="1"/>
    <col min="15631" max="15631" width="9.5703125" style="2" customWidth="1"/>
    <col min="15632" max="15632" width="8" style="2" customWidth="1"/>
    <col min="15633" max="15633" width="9.5703125" style="2" customWidth="1"/>
    <col min="15634" max="15634" width="7.28515625" style="2" customWidth="1"/>
    <col min="15635" max="15635" width="7.7109375" style="2" customWidth="1"/>
    <col min="15636" max="15636" width="9.5703125" style="2" customWidth="1"/>
    <col min="15637" max="15637" width="8.5703125" style="2" customWidth="1"/>
    <col min="15638" max="15638" width="8" style="2" customWidth="1"/>
    <col min="15639" max="15639" width="9.5703125" style="2" customWidth="1"/>
    <col min="15640" max="15640" width="8" style="2" customWidth="1"/>
    <col min="15641" max="15641" width="8.28515625" style="2" customWidth="1"/>
    <col min="15642" max="15643" width="8" style="2" customWidth="1"/>
    <col min="15644" max="15644" width="7.28515625" style="2" customWidth="1"/>
    <col min="15645" max="15646" width="9.5703125" style="2" customWidth="1"/>
    <col min="15647" max="15647" width="8" style="2" customWidth="1"/>
    <col min="15648" max="15650" width="9.5703125" style="2" customWidth="1"/>
    <col min="15651" max="15651" width="7.7109375" style="2" customWidth="1"/>
    <col min="15652" max="15652" width="8.28515625" style="2" customWidth="1"/>
    <col min="15653" max="15653" width="7.7109375" style="2" customWidth="1"/>
    <col min="15654" max="15655" width="8" style="2" customWidth="1"/>
    <col min="15656" max="15659" width="9.5703125" style="2" customWidth="1"/>
    <col min="15660" max="15660" width="8" style="2" customWidth="1"/>
    <col min="15661" max="15661" width="8.5703125" style="2" customWidth="1"/>
    <col min="15662" max="15662" width="9.5703125" style="2" customWidth="1"/>
    <col min="15663" max="15663" width="7.28515625" style="2" customWidth="1"/>
    <col min="15664" max="15664" width="7.7109375" style="2" customWidth="1"/>
    <col min="15665" max="15665" width="22.42578125" style="2" customWidth="1"/>
    <col min="15666" max="15666" width="20.7109375" style="2" customWidth="1"/>
    <col min="15667" max="15667" width="33.5703125" style="2" customWidth="1"/>
    <col min="15668" max="15668" width="22.85546875" style="2" customWidth="1"/>
    <col min="15669" max="15669" width="0" style="2" hidden="1" customWidth="1"/>
    <col min="15670" max="15670" width="19.5703125" style="2" customWidth="1"/>
    <col min="15671" max="15672" width="0" style="2" hidden="1" customWidth="1"/>
    <col min="15673" max="15859" width="10.7109375" style="2"/>
    <col min="15860" max="15860" width="9" style="2" customWidth="1"/>
    <col min="15861" max="15861" width="39.7109375" style="2" customWidth="1"/>
    <col min="15862" max="15862" width="17.28515625" style="2" customWidth="1"/>
    <col min="15863" max="15863" width="0" style="2" hidden="1" customWidth="1"/>
    <col min="15864" max="15864" width="7.42578125" style="2" customWidth="1"/>
    <col min="15865" max="15867" width="10.28515625" style="2" customWidth="1"/>
    <col min="15868" max="15868" width="13.5703125" style="2" customWidth="1"/>
    <col min="15869" max="15870" width="8.5703125" style="2" customWidth="1"/>
    <col min="15871" max="15871" width="9.5703125" style="2" customWidth="1"/>
    <col min="15872" max="15874" width="8.5703125" style="2" customWidth="1"/>
    <col min="15875" max="15881" width="9.5703125" style="2" customWidth="1"/>
    <col min="15882" max="15882" width="11.85546875" style="2" customWidth="1"/>
    <col min="15883" max="15884" width="11.7109375" style="2" customWidth="1"/>
    <col min="15885" max="15885" width="9.5703125" style="2" customWidth="1"/>
    <col min="15886" max="15886" width="8" style="2" customWidth="1"/>
    <col min="15887" max="15887" width="9.5703125" style="2" customWidth="1"/>
    <col min="15888" max="15888" width="8" style="2" customWidth="1"/>
    <col min="15889" max="15889" width="9.5703125" style="2" customWidth="1"/>
    <col min="15890" max="15890" width="7.28515625" style="2" customWidth="1"/>
    <col min="15891" max="15891" width="7.7109375" style="2" customWidth="1"/>
    <col min="15892" max="15892" width="9.5703125" style="2" customWidth="1"/>
    <col min="15893" max="15893" width="8.5703125" style="2" customWidth="1"/>
    <col min="15894" max="15894" width="8" style="2" customWidth="1"/>
    <col min="15895" max="15895" width="9.5703125" style="2" customWidth="1"/>
    <col min="15896" max="15896" width="8" style="2" customWidth="1"/>
    <col min="15897" max="15897" width="8.28515625" style="2" customWidth="1"/>
    <col min="15898" max="15899" width="8" style="2" customWidth="1"/>
    <col min="15900" max="15900" width="7.28515625" style="2" customWidth="1"/>
    <col min="15901" max="15902" width="9.5703125" style="2" customWidth="1"/>
    <col min="15903" max="15903" width="8" style="2" customWidth="1"/>
    <col min="15904" max="15906" width="9.5703125" style="2" customWidth="1"/>
    <col min="15907" max="15907" width="7.7109375" style="2" customWidth="1"/>
    <col min="15908" max="15908" width="8.28515625" style="2" customWidth="1"/>
    <col min="15909" max="15909" width="7.7109375" style="2" customWidth="1"/>
    <col min="15910" max="15911" width="8" style="2" customWidth="1"/>
    <col min="15912" max="15915" width="9.5703125" style="2" customWidth="1"/>
    <col min="15916" max="15916" width="8" style="2" customWidth="1"/>
    <col min="15917" max="15917" width="8.5703125" style="2" customWidth="1"/>
    <col min="15918" max="15918" width="9.5703125" style="2" customWidth="1"/>
    <col min="15919" max="15919" width="7.28515625" style="2" customWidth="1"/>
    <col min="15920" max="15920" width="7.7109375" style="2" customWidth="1"/>
    <col min="15921" max="15921" width="22.42578125" style="2" customWidth="1"/>
    <col min="15922" max="15922" width="20.7109375" style="2" customWidth="1"/>
    <col min="15923" max="15923" width="33.5703125" style="2" customWidth="1"/>
    <col min="15924" max="15924" width="22.85546875" style="2" customWidth="1"/>
    <col min="15925" max="15925" width="0" style="2" hidden="1" customWidth="1"/>
    <col min="15926" max="15926" width="19.5703125" style="2" customWidth="1"/>
    <col min="15927" max="15928" width="0" style="2" hidden="1" customWidth="1"/>
    <col min="15929" max="16115" width="10.7109375" style="2"/>
    <col min="16116" max="16116" width="9" style="2" customWidth="1"/>
    <col min="16117" max="16117" width="39.7109375" style="2" customWidth="1"/>
    <col min="16118" max="16118" width="17.28515625" style="2" customWidth="1"/>
    <col min="16119" max="16119" width="0" style="2" hidden="1" customWidth="1"/>
    <col min="16120" max="16120" width="7.42578125" style="2" customWidth="1"/>
    <col min="16121" max="16123" width="10.28515625" style="2" customWidth="1"/>
    <col min="16124" max="16124" width="13.5703125" style="2" customWidth="1"/>
    <col min="16125" max="16126" width="8.5703125" style="2" customWidth="1"/>
    <col min="16127" max="16127" width="9.5703125" style="2" customWidth="1"/>
    <col min="16128" max="16130" width="8.5703125" style="2" customWidth="1"/>
    <col min="16131" max="16137" width="9.5703125" style="2" customWidth="1"/>
    <col min="16138" max="16138" width="11.85546875" style="2" customWidth="1"/>
    <col min="16139" max="16140" width="11.7109375" style="2" customWidth="1"/>
    <col min="16141" max="16141" width="9.5703125" style="2" customWidth="1"/>
    <col min="16142" max="16142" width="8" style="2" customWidth="1"/>
    <col min="16143" max="16143" width="9.5703125" style="2" customWidth="1"/>
    <col min="16144" max="16144" width="8" style="2" customWidth="1"/>
    <col min="16145" max="16145" width="9.5703125" style="2" customWidth="1"/>
    <col min="16146" max="16146" width="7.28515625" style="2" customWidth="1"/>
    <col min="16147" max="16147" width="7.7109375" style="2" customWidth="1"/>
    <col min="16148" max="16148" width="9.5703125" style="2" customWidth="1"/>
    <col min="16149" max="16149" width="8.5703125" style="2" customWidth="1"/>
    <col min="16150" max="16150" width="8" style="2" customWidth="1"/>
    <col min="16151" max="16151" width="9.5703125" style="2" customWidth="1"/>
    <col min="16152" max="16152" width="8" style="2" customWidth="1"/>
    <col min="16153" max="16153" width="8.28515625" style="2" customWidth="1"/>
    <col min="16154" max="16155" width="8" style="2" customWidth="1"/>
    <col min="16156" max="16156" width="7.28515625" style="2" customWidth="1"/>
    <col min="16157" max="16158" width="9.5703125" style="2" customWidth="1"/>
    <col min="16159" max="16159" width="8" style="2" customWidth="1"/>
    <col min="16160" max="16162" width="9.5703125" style="2" customWidth="1"/>
    <col min="16163" max="16163" width="7.7109375" style="2" customWidth="1"/>
    <col min="16164" max="16164" width="8.28515625" style="2" customWidth="1"/>
    <col min="16165" max="16165" width="7.7109375" style="2" customWidth="1"/>
    <col min="16166" max="16167" width="8" style="2" customWidth="1"/>
    <col min="16168" max="16171" width="9.5703125" style="2" customWidth="1"/>
    <col min="16172" max="16172" width="8" style="2" customWidth="1"/>
    <col min="16173" max="16173" width="8.5703125" style="2" customWidth="1"/>
    <col min="16174" max="16174" width="9.5703125" style="2" customWidth="1"/>
    <col min="16175" max="16175" width="7.28515625" style="2" customWidth="1"/>
    <col min="16176" max="16176" width="7.7109375" style="2" customWidth="1"/>
    <col min="16177" max="16177" width="22.42578125" style="2" customWidth="1"/>
    <col min="16178" max="16178" width="20.7109375" style="2" customWidth="1"/>
    <col min="16179" max="16179" width="33.5703125" style="2" customWidth="1"/>
    <col min="16180" max="16180" width="22.85546875" style="2" customWidth="1"/>
    <col min="16181" max="16181" width="0" style="2" hidden="1" customWidth="1"/>
    <col min="16182" max="16182" width="19.5703125" style="2" customWidth="1"/>
    <col min="16183" max="16184" width="0" style="2" hidden="1" customWidth="1"/>
    <col min="16185" max="16384" width="10.7109375" style="2"/>
  </cols>
  <sheetData>
    <row r="1" spans="1:65" x14ac:dyDescent="0.25">
      <c r="A1" s="446" t="s">
        <v>1112</v>
      </c>
      <c r="B1" s="446"/>
      <c r="C1" s="1"/>
      <c r="D1" s="18"/>
      <c r="E1" s="3"/>
      <c r="F1" s="3"/>
      <c r="G1" s="3"/>
      <c r="H1" s="1"/>
      <c r="I1" s="1"/>
      <c r="J1" s="1"/>
      <c r="K1" s="1"/>
      <c r="L1" s="1"/>
      <c r="M1" s="1"/>
      <c r="N1" s="1"/>
      <c r="O1" s="1"/>
      <c r="P1" s="1"/>
      <c r="Q1" s="1"/>
      <c r="R1" s="1"/>
      <c r="S1" s="1"/>
      <c r="T1" s="1"/>
      <c r="U1" s="2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8"/>
      <c r="BI1" s="1"/>
      <c r="BJ1" s="1"/>
      <c r="BK1" s="1"/>
      <c r="BL1" s="4"/>
      <c r="BM1" s="5"/>
    </row>
    <row r="2" spans="1:65" s="1" customFormat="1" x14ac:dyDescent="0.25">
      <c r="A2" s="447" t="s">
        <v>0</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row>
    <row r="3" spans="1:65" x14ac:dyDescent="0.25">
      <c r="A3" s="447" t="s">
        <v>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row>
    <row r="4" spans="1:65" x14ac:dyDescent="0.25">
      <c r="A4" s="18"/>
      <c r="B4" s="17"/>
      <c r="C4" s="18"/>
      <c r="D4" s="18"/>
      <c r="E4" s="3"/>
      <c r="F4" s="3"/>
      <c r="G4" s="3"/>
      <c r="H4" s="18"/>
      <c r="I4" s="18"/>
      <c r="J4" s="18"/>
      <c r="K4" s="18"/>
      <c r="L4" s="18"/>
      <c r="M4" s="18"/>
      <c r="N4" s="18"/>
      <c r="O4" s="18"/>
      <c r="P4" s="18"/>
      <c r="Q4" s="18"/>
      <c r="R4" s="18"/>
      <c r="S4" s="18"/>
      <c r="T4" s="18"/>
      <c r="U4" s="26"/>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ht="27.75" customHeight="1" x14ac:dyDescent="0.25">
      <c r="A5" s="448" t="s">
        <v>2</v>
      </c>
      <c r="B5" s="448" t="s">
        <v>3</v>
      </c>
      <c r="C5" s="454" t="s">
        <v>4</v>
      </c>
      <c r="D5" s="448" t="s">
        <v>1100</v>
      </c>
      <c r="E5" s="453" t="s">
        <v>1104</v>
      </c>
      <c r="F5" s="453" t="s">
        <v>1105</v>
      </c>
      <c r="G5" s="453" t="s">
        <v>1099</v>
      </c>
      <c r="H5" s="450" t="s">
        <v>5</v>
      </c>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1" t="s">
        <v>1081</v>
      </c>
      <c r="BI5" s="454" t="s">
        <v>4</v>
      </c>
      <c r="BJ5" s="448" t="s">
        <v>6</v>
      </c>
      <c r="BK5" s="448" t="s">
        <v>7</v>
      </c>
      <c r="BL5" s="457" t="s">
        <v>8</v>
      </c>
      <c r="BM5" s="448" t="s">
        <v>9</v>
      </c>
    </row>
    <row r="6" spans="1:65" s="6" customFormat="1" ht="27.75" customHeight="1" x14ac:dyDescent="0.25">
      <c r="A6" s="449"/>
      <c r="B6" s="449"/>
      <c r="C6" s="455"/>
      <c r="D6" s="449"/>
      <c r="E6" s="453"/>
      <c r="F6" s="453"/>
      <c r="G6" s="453"/>
      <c r="H6" s="177" t="s">
        <v>10</v>
      </c>
      <c r="I6" s="38" t="s">
        <v>11</v>
      </c>
      <c r="J6" s="39" t="s">
        <v>12</v>
      </c>
      <c r="K6" s="38" t="s">
        <v>13</v>
      </c>
      <c r="L6" s="38" t="s">
        <v>14</v>
      </c>
      <c r="M6" s="177" t="s">
        <v>15</v>
      </c>
      <c r="N6" s="40" t="s">
        <v>16</v>
      </c>
      <c r="O6" s="40" t="s">
        <v>17</v>
      </c>
      <c r="P6" s="40" t="s">
        <v>18</v>
      </c>
      <c r="Q6" s="177" t="s">
        <v>19</v>
      </c>
      <c r="R6" s="40" t="s">
        <v>20</v>
      </c>
      <c r="S6" s="40" t="s">
        <v>21</v>
      </c>
      <c r="T6" s="40" t="s">
        <v>22</v>
      </c>
      <c r="U6" s="177" t="s">
        <v>23</v>
      </c>
      <c r="V6" s="40" t="s">
        <v>24</v>
      </c>
      <c r="W6" s="40" t="s">
        <v>25</v>
      </c>
      <c r="X6" s="40" t="s">
        <v>26</v>
      </c>
      <c r="Y6" s="41" t="s">
        <v>27</v>
      </c>
      <c r="Z6" s="177" t="s">
        <v>28</v>
      </c>
      <c r="AA6" s="38" t="s">
        <v>29</v>
      </c>
      <c r="AB6" s="38" t="s">
        <v>30</v>
      </c>
      <c r="AC6" s="177" t="s">
        <v>31</v>
      </c>
      <c r="AD6" s="38" t="s">
        <v>32</v>
      </c>
      <c r="AE6" s="38" t="s">
        <v>33</v>
      </c>
      <c r="AF6" s="38" t="s">
        <v>34</v>
      </c>
      <c r="AG6" s="38" t="s">
        <v>35</v>
      </c>
      <c r="AH6" s="38" t="s">
        <v>36</v>
      </c>
      <c r="AI6" s="38" t="s">
        <v>37</v>
      </c>
      <c r="AJ6" s="38" t="s">
        <v>38</v>
      </c>
      <c r="AK6" s="38" t="s">
        <v>39</v>
      </c>
      <c r="AL6" s="38" t="s">
        <v>40</v>
      </c>
      <c r="AM6" s="38" t="s">
        <v>41</v>
      </c>
      <c r="AN6" s="38" t="s">
        <v>42</v>
      </c>
      <c r="AO6" s="38" t="s">
        <v>43</v>
      </c>
      <c r="AP6" s="38" t="s">
        <v>44</v>
      </c>
      <c r="AQ6" s="38" t="s">
        <v>45</v>
      </c>
      <c r="AR6" s="177" t="s">
        <v>46</v>
      </c>
      <c r="AS6" s="38" t="s">
        <v>47</v>
      </c>
      <c r="AT6" s="38" t="s">
        <v>48</v>
      </c>
      <c r="AU6" s="38" t="s">
        <v>49</v>
      </c>
      <c r="AV6" s="38" t="s">
        <v>50</v>
      </c>
      <c r="AW6" s="38" t="s">
        <v>51</v>
      </c>
      <c r="AX6" s="38" t="s">
        <v>52</v>
      </c>
      <c r="AY6" s="38" t="s">
        <v>53</v>
      </c>
      <c r="AZ6" s="38" t="s">
        <v>54</v>
      </c>
      <c r="BA6" s="38" t="s">
        <v>55</v>
      </c>
      <c r="BB6" s="38" t="s">
        <v>56</v>
      </c>
      <c r="BC6" s="38" t="s">
        <v>57</v>
      </c>
      <c r="BD6" s="38" t="s">
        <v>58</v>
      </c>
      <c r="BE6" s="38" t="s">
        <v>59</v>
      </c>
      <c r="BF6" s="177" t="s">
        <v>60</v>
      </c>
      <c r="BG6" s="177" t="s">
        <v>61</v>
      </c>
      <c r="BH6" s="452"/>
      <c r="BI6" s="455"/>
      <c r="BJ6" s="449"/>
      <c r="BK6" s="448"/>
      <c r="BL6" s="457"/>
      <c r="BM6" s="449"/>
    </row>
    <row r="7" spans="1:65" x14ac:dyDescent="0.25">
      <c r="A7" s="42" t="s">
        <v>62</v>
      </c>
      <c r="B7" s="43" t="s">
        <v>63</v>
      </c>
      <c r="C7" s="174"/>
      <c r="D7" s="44"/>
      <c r="E7" s="45">
        <f t="shared" ref="E7:E37" si="0">SUM(F7:G7)</f>
        <v>82.63000000000001</v>
      </c>
      <c r="F7" s="46">
        <f>SUM(F8:F18)</f>
        <v>0</v>
      </c>
      <c r="G7" s="47">
        <f>SUM(G8:G18)</f>
        <v>82.63000000000001</v>
      </c>
      <c r="H7" s="47">
        <f>SUM(H8:H18)</f>
        <v>0.11</v>
      </c>
      <c r="I7" s="47">
        <f t="shared" ref="I7:BG7" si="1">SUM(I8:I18)</f>
        <v>0.23</v>
      </c>
      <c r="J7" s="47">
        <f t="shared" si="1"/>
        <v>0</v>
      </c>
      <c r="K7" s="47">
        <f t="shared" si="1"/>
        <v>0.79</v>
      </c>
      <c r="L7" s="47">
        <f t="shared" si="1"/>
        <v>0.57000000000000006</v>
      </c>
      <c r="M7" s="47">
        <f t="shared" si="1"/>
        <v>0</v>
      </c>
      <c r="N7" s="47">
        <f t="shared" si="1"/>
        <v>0</v>
      </c>
      <c r="O7" s="47">
        <f t="shared" si="1"/>
        <v>0</v>
      </c>
      <c r="P7" s="47">
        <f t="shared" si="1"/>
        <v>0</v>
      </c>
      <c r="Q7" s="47">
        <f t="shared" si="1"/>
        <v>0</v>
      </c>
      <c r="R7" s="47">
        <f t="shared" si="1"/>
        <v>0</v>
      </c>
      <c r="S7" s="47">
        <f t="shared" si="1"/>
        <v>0</v>
      </c>
      <c r="T7" s="47">
        <f t="shared" si="1"/>
        <v>0</v>
      </c>
      <c r="U7" s="47">
        <f t="shared" si="1"/>
        <v>79.05</v>
      </c>
      <c r="V7" s="47">
        <f t="shared" si="1"/>
        <v>59.69</v>
      </c>
      <c r="W7" s="47">
        <f t="shared" si="1"/>
        <v>12.120000000000001</v>
      </c>
      <c r="X7" s="47">
        <f t="shared" si="1"/>
        <v>7.24</v>
      </c>
      <c r="Y7" s="47">
        <f t="shared" si="1"/>
        <v>0</v>
      </c>
      <c r="Z7" s="47">
        <f t="shared" si="1"/>
        <v>0</v>
      </c>
      <c r="AA7" s="47">
        <f t="shared" si="1"/>
        <v>0</v>
      </c>
      <c r="AB7" s="47">
        <f t="shared" si="1"/>
        <v>0</v>
      </c>
      <c r="AC7" s="47">
        <f t="shared" si="1"/>
        <v>0</v>
      </c>
      <c r="AD7" s="47">
        <f t="shared" si="1"/>
        <v>0</v>
      </c>
      <c r="AE7" s="47">
        <f t="shared" si="1"/>
        <v>0</v>
      </c>
      <c r="AF7" s="47">
        <f t="shared" si="1"/>
        <v>1.1200000000000001</v>
      </c>
      <c r="AG7" s="47">
        <f t="shared" si="1"/>
        <v>0</v>
      </c>
      <c r="AH7" s="47">
        <f t="shared" si="1"/>
        <v>0</v>
      </c>
      <c r="AI7" s="47">
        <f t="shared" si="1"/>
        <v>0</v>
      </c>
      <c r="AJ7" s="47">
        <f t="shared" si="1"/>
        <v>0</v>
      </c>
      <c r="AK7" s="47">
        <f t="shared" si="1"/>
        <v>0</v>
      </c>
      <c r="AL7" s="47">
        <f t="shared" si="1"/>
        <v>0</v>
      </c>
      <c r="AM7" s="47">
        <f t="shared" si="1"/>
        <v>0</v>
      </c>
      <c r="AN7" s="47">
        <f t="shared" si="1"/>
        <v>0</v>
      </c>
      <c r="AO7" s="47">
        <f t="shared" si="1"/>
        <v>0</v>
      </c>
      <c r="AP7" s="47">
        <f t="shared" si="1"/>
        <v>0</v>
      </c>
      <c r="AQ7" s="47">
        <f t="shared" si="1"/>
        <v>0</v>
      </c>
      <c r="AR7" s="47">
        <f t="shared" si="1"/>
        <v>0</v>
      </c>
      <c r="AS7" s="47">
        <f t="shared" si="1"/>
        <v>0</v>
      </c>
      <c r="AT7" s="47">
        <f t="shared" si="1"/>
        <v>0.01</v>
      </c>
      <c r="AU7" s="47">
        <f t="shared" si="1"/>
        <v>0</v>
      </c>
      <c r="AV7" s="47">
        <f t="shared" si="1"/>
        <v>0</v>
      </c>
      <c r="AW7" s="47">
        <f t="shared" si="1"/>
        <v>0</v>
      </c>
      <c r="AX7" s="47">
        <f t="shared" si="1"/>
        <v>0</v>
      </c>
      <c r="AY7" s="47">
        <f t="shared" si="1"/>
        <v>0</v>
      </c>
      <c r="AZ7" s="47">
        <f t="shared" si="1"/>
        <v>0</v>
      </c>
      <c r="BA7" s="47">
        <f t="shared" si="1"/>
        <v>0</v>
      </c>
      <c r="BB7" s="47">
        <f t="shared" si="1"/>
        <v>0</v>
      </c>
      <c r="BC7" s="47">
        <f t="shared" si="1"/>
        <v>0</v>
      </c>
      <c r="BD7" s="47">
        <f t="shared" si="1"/>
        <v>0</v>
      </c>
      <c r="BE7" s="47">
        <f t="shared" si="1"/>
        <v>0</v>
      </c>
      <c r="BF7" s="47">
        <f t="shared" si="1"/>
        <v>0</v>
      </c>
      <c r="BG7" s="47">
        <f t="shared" si="1"/>
        <v>0.75</v>
      </c>
      <c r="BH7" s="176"/>
      <c r="BI7" s="174"/>
      <c r="BJ7" s="174"/>
      <c r="BK7" s="174"/>
      <c r="BL7" s="175"/>
      <c r="BM7" s="175"/>
    </row>
    <row r="8" spans="1:65" s="252" customFormat="1" ht="47.25" x14ac:dyDescent="0.25">
      <c r="A8" s="223">
        <v>1</v>
      </c>
      <c r="B8" s="251" t="s">
        <v>64</v>
      </c>
      <c r="C8" s="223" t="s">
        <v>65</v>
      </c>
      <c r="D8" s="243" t="s">
        <v>29</v>
      </c>
      <c r="E8" s="48">
        <f t="shared" si="0"/>
        <v>0.4</v>
      </c>
      <c r="F8" s="20"/>
      <c r="G8" s="28">
        <f t="shared" ref="G8:G18" si="2">SUM(H8:M8,Q8,U8,Y8:BG8)</f>
        <v>0.4</v>
      </c>
      <c r="H8" s="235"/>
      <c r="I8" s="235"/>
      <c r="J8" s="235"/>
      <c r="K8" s="235">
        <v>0.4</v>
      </c>
      <c r="L8" s="235"/>
      <c r="M8" s="238">
        <f t="shared" ref="M8:M18" si="3">SUM(N8:P8)</f>
        <v>0</v>
      </c>
      <c r="N8" s="238"/>
      <c r="O8" s="238"/>
      <c r="P8" s="238"/>
      <c r="Q8" s="238">
        <f t="shared" ref="Q8:Q18" si="4">R8+S8+T8</f>
        <v>0</v>
      </c>
      <c r="R8" s="235"/>
      <c r="S8" s="235"/>
      <c r="T8" s="235"/>
      <c r="U8" s="33"/>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t="s">
        <v>66</v>
      </c>
      <c r="BI8" s="223" t="s">
        <v>65</v>
      </c>
      <c r="BJ8" s="226" t="s">
        <v>67</v>
      </c>
      <c r="BK8" s="241" t="s">
        <v>68</v>
      </c>
      <c r="BL8" s="458" t="s">
        <v>69</v>
      </c>
      <c r="BM8" s="226" t="s">
        <v>1026</v>
      </c>
    </row>
    <row r="9" spans="1:65" s="252" customFormat="1" ht="31.5" x14ac:dyDescent="0.25">
      <c r="A9" s="223">
        <f>A8+1</f>
        <v>2</v>
      </c>
      <c r="B9" s="237" t="s">
        <v>70</v>
      </c>
      <c r="C9" s="226" t="s">
        <v>71</v>
      </c>
      <c r="D9" s="243" t="s">
        <v>29</v>
      </c>
      <c r="E9" s="48">
        <f t="shared" si="0"/>
        <v>2.5</v>
      </c>
      <c r="F9" s="20"/>
      <c r="G9" s="28">
        <f t="shared" si="2"/>
        <v>2.5</v>
      </c>
      <c r="H9" s="235"/>
      <c r="I9" s="235">
        <v>0.03</v>
      </c>
      <c r="J9" s="235"/>
      <c r="K9" s="235">
        <v>0.03</v>
      </c>
      <c r="L9" s="235"/>
      <c r="M9" s="222">
        <f t="shared" si="3"/>
        <v>0</v>
      </c>
      <c r="N9" s="222"/>
      <c r="O9" s="222"/>
      <c r="P9" s="222"/>
      <c r="Q9" s="222">
        <f t="shared" si="4"/>
        <v>0</v>
      </c>
      <c r="R9" s="235"/>
      <c r="S9" s="235"/>
      <c r="T9" s="235"/>
      <c r="U9" s="33">
        <f>SUM(V9:X9)</f>
        <v>1.3299999999999998</v>
      </c>
      <c r="V9" s="49">
        <f>2.4-1.07</f>
        <v>1.3299999999999998</v>
      </c>
      <c r="W9" s="179"/>
      <c r="X9" s="235"/>
      <c r="Y9" s="235"/>
      <c r="Z9" s="235"/>
      <c r="AA9" s="235"/>
      <c r="AB9" s="235"/>
      <c r="AC9" s="235"/>
      <c r="AD9" s="235"/>
      <c r="AE9" s="235"/>
      <c r="AF9" s="235">
        <f>1.07+0.04</f>
        <v>1.1100000000000001</v>
      </c>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180" t="s">
        <v>72</v>
      </c>
      <c r="BI9" s="226" t="s">
        <v>71</v>
      </c>
      <c r="BJ9" s="226" t="s">
        <v>73</v>
      </c>
      <c r="BK9" s="241" t="s">
        <v>74</v>
      </c>
      <c r="BL9" s="459"/>
      <c r="BM9" s="226" t="s">
        <v>1026</v>
      </c>
    </row>
    <row r="10" spans="1:65" s="252" customFormat="1" ht="31.5" x14ac:dyDescent="0.25">
      <c r="A10" s="223">
        <f t="shared" ref="A10:A18" si="5">A9+1</f>
        <v>3</v>
      </c>
      <c r="B10" s="237" t="s">
        <v>75</v>
      </c>
      <c r="C10" s="226" t="s">
        <v>71</v>
      </c>
      <c r="D10" s="243" t="s">
        <v>29</v>
      </c>
      <c r="E10" s="48">
        <f t="shared" si="0"/>
        <v>3</v>
      </c>
      <c r="F10" s="20"/>
      <c r="G10" s="28">
        <f t="shared" si="2"/>
        <v>3</v>
      </c>
      <c r="H10" s="181"/>
      <c r="I10" s="181"/>
      <c r="J10" s="181"/>
      <c r="K10" s="181"/>
      <c r="L10" s="181"/>
      <c r="M10" s="222">
        <f t="shared" si="3"/>
        <v>0</v>
      </c>
      <c r="N10" s="50"/>
      <c r="O10" s="50"/>
      <c r="P10" s="50"/>
      <c r="Q10" s="222">
        <f t="shared" si="4"/>
        <v>0</v>
      </c>
      <c r="R10" s="181"/>
      <c r="S10" s="181"/>
      <c r="T10" s="181"/>
      <c r="U10" s="33">
        <f t="shared" ref="U10:U18" si="6">SUM(V10:X10)</f>
        <v>2.25</v>
      </c>
      <c r="V10" s="182">
        <v>2.25</v>
      </c>
      <c r="W10" s="182"/>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v>0.75</v>
      </c>
      <c r="BH10" s="182" t="s">
        <v>76</v>
      </c>
      <c r="BI10" s="226" t="s">
        <v>71</v>
      </c>
      <c r="BJ10" s="236" t="s">
        <v>77</v>
      </c>
      <c r="BK10" s="241" t="s">
        <v>398</v>
      </c>
      <c r="BL10" s="459"/>
      <c r="BM10" s="226" t="s">
        <v>1026</v>
      </c>
    </row>
    <row r="11" spans="1:65" s="252" customFormat="1" ht="31.5" x14ac:dyDescent="0.25">
      <c r="A11" s="223">
        <f t="shared" si="5"/>
        <v>4</v>
      </c>
      <c r="B11" s="237" t="s">
        <v>78</v>
      </c>
      <c r="C11" s="226" t="s">
        <v>79</v>
      </c>
      <c r="D11" s="243" t="s">
        <v>29</v>
      </c>
      <c r="E11" s="48">
        <f t="shared" si="0"/>
        <v>2.5</v>
      </c>
      <c r="F11" s="20"/>
      <c r="G11" s="28">
        <f t="shared" si="2"/>
        <v>2.5</v>
      </c>
      <c r="H11" s="235"/>
      <c r="I11" s="235"/>
      <c r="J11" s="235"/>
      <c r="K11" s="235"/>
      <c r="L11" s="235"/>
      <c r="M11" s="238">
        <f t="shared" si="3"/>
        <v>0</v>
      </c>
      <c r="N11" s="238"/>
      <c r="O11" s="238"/>
      <c r="P11" s="238"/>
      <c r="Q11" s="238">
        <f t="shared" si="4"/>
        <v>0</v>
      </c>
      <c r="R11" s="235"/>
      <c r="S11" s="235"/>
      <c r="T11" s="235"/>
      <c r="U11" s="33">
        <f t="shared" si="6"/>
        <v>2.5</v>
      </c>
      <c r="V11" s="179"/>
      <c r="W11" s="235"/>
      <c r="X11" s="235">
        <v>2.5</v>
      </c>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180" t="s">
        <v>72</v>
      </c>
      <c r="BI11" s="226" t="s">
        <v>79</v>
      </c>
      <c r="BJ11" s="226" t="s">
        <v>80</v>
      </c>
      <c r="BK11" s="241" t="s">
        <v>398</v>
      </c>
      <c r="BL11" s="460"/>
      <c r="BM11" s="226" t="s">
        <v>1026</v>
      </c>
    </row>
    <row r="12" spans="1:65" s="252" customFormat="1" ht="47.25" x14ac:dyDescent="0.25">
      <c r="A12" s="223">
        <f t="shared" si="5"/>
        <v>5</v>
      </c>
      <c r="B12" s="237" t="s">
        <v>81</v>
      </c>
      <c r="C12" s="219" t="s">
        <v>82</v>
      </c>
      <c r="D12" s="243" t="s">
        <v>29</v>
      </c>
      <c r="E12" s="48">
        <f t="shared" si="0"/>
        <v>1.72</v>
      </c>
      <c r="F12" s="28"/>
      <c r="G12" s="28">
        <f t="shared" si="2"/>
        <v>1.72</v>
      </c>
      <c r="H12" s="33"/>
      <c r="I12" s="51"/>
      <c r="J12" s="51"/>
      <c r="K12" s="51"/>
      <c r="L12" s="51">
        <v>0.28000000000000003</v>
      </c>
      <c r="M12" s="238">
        <f t="shared" si="3"/>
        <v>0</v>
      </c>
      <c r="N12" s="238"/>
      <c r="O12" s="238"/>
      <c r="P12" s="238"/>
      <c r="Q12" s="238">
        <f t="shared" si="4"/>
        <v>0</v>
      </c>
      <c r="R12" s="33"/>
      <c r="S12" s="33"/>
      <c r="T12" s="33"/>
      <c r="U12" s="33">
        <f t="shared" si="6"/>
        <v>1.42</v>
      </c>
      <c r="V12" s="179">
        <v>1.42</v>
      </c>
      <c r="W12" s="182"/>
      <c r="X12" s="181"/>
      <c r="Y12" s="181"/>
      <c r="Z12" s="181"/>
      <c r="AA12" s="181"/>
      <c r="AB12" s="181"/>
      <c r="AC12" s="181"/>
      <c r="AD12" s="181"/>
      <c r="AE12" s="181"/>
      <c r="AF12" s="181">
        <v>0.01</v>
      </c>
      <c r="AG12" s="181"/>
      <c r="AH12" s="181"/>
      <c r="AI12" s="181"/>
      <c r="AJ12" s="181"/>
      <c r="AK12" s="181"/>
      <c r="AL12" s="181"/>
      <c r="AM12" s="181"/>
      <c r="AN12" s="181"/>
      <c r="AO12" s="181"/>
      <c r="AP12" s="181"/>
      <c r="AQ12" s="181"/>
      <c r="AR12" s="181"/>
      <c r="AS12" s="181"/>
      <c r="AT12" s="181">
        <v>0.01</v>
      </c>
      <c r="AU12" s="181"/>
      <c r="AV12" s="181"/>
      <c r="AW12" s="181"/>
      <c r="AX12" s="181"/>
      <c r="AY12" s="181"/>
      <c r="AZ12" s="181"/>
      <c r="BA12" s="181"/>
      <c r="BB12" s="181"/>
      <c r="BC12" s="181"/>
      <c r="BD12" s="181"/>
      <c r="BE12" s="181"/>
      <c r="BF12" s="181"/>
      <c r="BG12" s="52"/>
      <c r="BH12" s="53" t="s">
        <v>83</v>
      </c>
      <c r="BI12" s="219" t="s">
        <v>82</v>
      </c>
      <c r="BJ12" s="236" t="s">
        <v>84</v>
      </c>
      <c r="BK12" s="241" t="s">
        <v>68</v>
      </c>
      <c r="BL12" s="218" t="s">
        <v>85</v>
      </c>
      <c r="BM12" s="226" t="s">
        <v>1026</v>
      </c>
    </row>
    <row r="13" spans="1:65" s="252" customFormat="1" ht="31.5" x14ac:dyDescent="0.25">
      <c r="A13" s="223">
        <f t="shared" si="5"/>
        <v>6</v>
      </c>
      <c r="B13" s="237" t="s">
        <v>86</v>
      </c>
      <c r="C13" s="226" t="s">
        <v>87</v>
      </c>
      <c r="D13" s="243" t="s">
        <v>29</v>
      </c>
      <c r="E13" s="48">
        <f t="shared" si="0"/>
        <v>15</v>
      </c>
      <c r="F13" s="20"/>
      <c r="G13" s="28">
        <f t="shared" si="2"/>
        <v>15</v>
      </c>
      <c r="H13" s="235"/>
      <c r="I13" s="235"/>
      <c r="J13" s="235"/>
      <c r="K13" s="235"/>
      <c r="L13" s="235"/>
      <c r="M13" s="238">
        <f t="shared" si="3"/>
        <v>0</v>
      </c>
      <c r="N13" s="222"/>
      <c r="O13" s="222"/>
      <c r="P13" s="222"/>
      <c r="Q13" s="238">
        <f t="shared" si="4"/>
        <v>0</v>
      </c>
      <c r="R13" s="235"/>
      <c r="S13" s="235"/>
      <c r="T13" s="235"/>
      <c r="U13" s="33">
        <f t="shared" si="6"/>
        <v>15</v>
      </c>
      <c r="V13" s="235">
        <v>15</v>
      </c>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t="s">
        <v>88</v>
      </c>
      <c r="BI13" s="226" t="s">
        <v>87</v>
      </c>
      <c r="BJ13" s="226" t="s">
        <v>89</v>
      </c>
      <c r="BK13" s="241" t="s">
        <v>398</v>
      </c>
      <c r="BL13" s="409" t="s">
        <v>69</v>
      </c>
      <c r="BM13" s="226" t="s">
        <v>1026</v>
      </c>
    </row>
    <row r="14" spans="1:65" s="252" customFormat="1" ht="31.5" x14ac:dyDescent="0.25">
      <c r="A14" s="223">
        <f t="shared" si="5"/>
        <v>7</v>
      </c>
      <c r="B14" s="237" t="s">
        <v>90</v>
      </c>
      <c r="C14" s="36" t="s">
        <v>91</v>
      </c>
      <c r="D14" s="243" t="s">
        <v>29</v>
      </c>
      <c r="E14" s="48">
        <f t="shared" si="0"/>
        <v>15</v>
      </c>
      <c r="F14" s="20"/>
      <c r="G14" s="28">
        <f t="shared" si="2"/>
        <v>15</v>
      </c>
      <c r="H14" s="235"/>
      <c r="I14" s="235"/>
      <c r="J14" s="235"/>
      <c r="K14" s="235"/>
      <c r="L14" s="235"/>
      <c r="M14" s="238">
        <f t="shared" si="3"/>
        <v>0</v>
      </c>
      <c r="N14" s="238"/>
      <c r="O14" s="238"/>
      <c r="P14" s="238"/>
      <c r="Q14" s="238">
        <f t="shared" si="4"/>
        <v>0</v>
      </c>
      <c r="R14" s="235"/>
      <c r="S14" s="235"/>
      <c r="T14" s="235"/>
      <c r="U14" s="33">
        <f t="shared" si="6"/>
        <v>15</v>
      </c>
      <c r="V14" s="28">
        <v>15</v>
      </c>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2" t="s">
        <v>92</v>
      </c>
      <c r="BI14" s="36" t="s">
        <v>91</v>
      </c>
      <c r="BJ14" s="226" t="s">
        <v>93</v>
      </c>
      <c r="BK14" s="241" t="s">
        <v>398</v>
      </c>
      <c r="BL14" s="409"/>
      <c r="BM14" s="226" t="s">
        <v>1026</v>
      </c>
    </row>
    <row r="15" spans="1:65" s="252" customFormat="1" ht="47.25" x14ac:dyDescent="0.25">
      <c r="A15" s="223">
        <f t="shared" si="5"/>
        <v>8</v>
      </c>
      <c r="B15" s="237" t="s">
        <v>94</v>
      </c>
      <c r="C15" s="36" t="s">
        <v>95</v>
      </c>
      <c r="D15" s="243" t="s">
        <v>29</v>
      </c>
      <c r="E15" s="48">
        <f t="shared" si="0"/>
        <v>15</v>
      </c>
      <c r="F15" s="20"/>
      <c r="G15" s="28">
        <f t="shared" si="2"/>
        <v>15</v>
      </c>
      <c r="H15" s="235"/>
      <c r="I15" s="235"/>
      <c r="J15" s="235"/>
      <c r="K15" s="235"/>
      <c r="L15" s="235"/>
      <c r="M15" s="238">
        <f t="shared" si="3"/>
        <v>0</v>
      </c>
      <c r="N15" s="238"/>
      <c r="O15" s="238"/>
      <c r="P15" s="238"/>
      <c r="Q15" s="238">
        <f t="shared" si="4"/>
        <v>0</v>
      </c>
      <c r="R15" s="235"/>
      <c r="S15" s="235"/>
      <c r="T15" s="235"/>
      <c r="U15" s="33">
        <f t="shared" si="6"/>
        <v>15</v>
      </c>
      <c r="V15" s="235"/>
      <c r="W15" s="235">
        <v>11</v>
      </c>
      <c r="X15" s="235">
        <v>4</v>
      </c>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2" t="s">
        <v>96</v>
      </c>
      <c r="BI15" s="36" t="s">
        <v>95</v>
      </c>
      <c r="BJ15" s="226" t="s">
        <v>97</v>
      </c>
      <c r="BK15" s="241" t="s">
        <v>68</v>
      </c>
      <c r="BL15" s="218" t="s">
        <v>85</v>
      </c>
      <c r="BM15" s="226" t="s">
        <v>1026</v>
      </c>
    </row>
    <row r="16" spans="1:65" s="252" customFormat="1" ht="31.5" x14ac:dyDescent="0.25">
      <c r="A16" s="223">
        <f t="shared" si="5"/>
        <v>9</v>
      </c>
      <c r="B16" s="237" t="s">
        <v>98</v>
      </c>
      <c r="C16" s="219" t="s">
        <v>99</v>
      </c>
      <c r="D16" s="243" t="s">
        <v>29</v>
      </c>
      <c r="E16" s="48">
        <f t="shared" si="0"/>
        <v>2.5</v>
      </c>
      <c r="F16" s="29"/>
      <c r="G16" s="28">
        <f t="shared" si="2"/>
        <v>2.5</v>
      </c>
      <c r="H16" s="235"/>
      <c r="I16" s="235"/>
      <c r="J16" s="235"/>
      <c r="K16" s="235"/>
      <c r="L16" s="235"/>
      <c r="M16" s="238">
        <f t="shared" si="3"/>
        <v>0</v>
      </c>
      <c r="N16" s="222"/>
      <c r="O16" s="222"/>
      <c r="P16" s="222"/>
      <c r="Q16" s="238">
        <f t="shared" si="4"/>
        <v>0</v>
      </c>
      <c r="R16" s="235"/>
      <c r="S16" s="235"/>
      <c r="T16" s="235"/>
      <c r="U16" s="33">
        <f t="shared" si="6"/>
        <v>2.5</v>
      </c>
      <c r="V16" s="235">
        <v>2.5</v>
      </c>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180" t="s">
        <v>100</v>
      </c>
      <c r="BI16" s="219" t="s">
        <v>99</v>
      </c>
      <c r="BJ16" s="226" t="s">
        <v>101</v>
      </c>
      <c r="BK16" s="241" t="s">
        <v>398</v>
      </c>
      <c r="BL16" s="409" t="s">
        <v>69</v>
      </c>
      <c r="BM16" s="226" t="s">
        <v>1026</v>
      </c>
    </row>
    <row r="17" spans="1:65" s="252" customFormat="1" ht="47.25" x14ac:dyDescent="0.25">
      <c r="A17" s="223">
        <f t="shared" si="5"/>
        <v>10</v>
      </c>
      <c r="B17" s="237" t="s">
        <v>102</v>
      </c>
      <c r="C17" s="36" t="s">
        <v>99</v>
      </c>
      <c r="D17" s="243" t="s">
        <v>29</v>
      </c>
      <c r="E17" s="48">
        <f t="shared" si="0"/>
        <v>22.51</v>
      </c>
      <c r="F17" s="29"/>
      <c r="G17" s="28">
        <f t="shared" si="2"/>
        <v>22.51</v>
      </c>
      <c r="H17" s="49">
        <v>0.11</v>
      </c>
      <c r="I17" s="49">
        <v>0.2</v>
      </c>
      <c r="J17" s="49"/>
      <c r="K17" s="49">
        <v>0.36</v>
      </c>
      <c r="L17" s="49">
        <v>0.28999999999999998</v>
      </c>
      <c r="M17" s="238">
        <f t="shared" si="3"/>
        <v>0</v>
      </c>
      <c r="N17" s="54"/>
      <c r="O17" s="54"/>
      <c r="P17" s="54"/>
      <c r="Q17" s="238">
        <f t="shared" si="4"/>
        <v>0</v>
      </c>
      <c r="R17" s="49"/>
      <c r="S17" s="49"/>
      <c r="T17" s="49"/>
      <c r="U17" s="33">
        <f t="shared" si="6"/>
        <v>21.55</v>
      </c>
      <c r="V17" s="49">
        <v>20.43</v>
      </c>
      <c r="W17" s="49">
        <v>1.1200000000000001</v>
      </c>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232" t="s">
        <v>103</v>
      </c>
      <c r="BI17" s="36" t="s">
        <v>99</v>
      </c>
      <c r="BJ17" s="236" t="s">
        <v>104</v>
      </c>
      <c r="BK17" s="218" t="s">
        <v>1062</v>
      </c>
      <c r="BL17" s="409"/>
      <c r="BM17" s="226" t="s">
        <v>1026</v>
      </c>
    </row>
    <row r="18" spans="1:65" s="252" customFormat="1" ht="31.5" x14ac:dyDescent="0.25">
      <c r="A18" s="223">
        <f t="shared" si="5"/>
        <v>11</v>
      </c>
      <c r="B18" s="237" t="s">
        <v>105</v>
      </c>
      <c r="C18" s="219" t="s">
        <v>106</v>
      </c>
      <c r="D18" s="243" t="s">
        <v>29</v>
      </c>
      <c r="E18" s="48">
        <f t="shared" si="0"/>
        <v>2.5</v>
      </c>
      <c r="F18" s="20"/>
      <c r="G18" s="28">
        <f t="shared" si="2"/>
        <v>2.5</v>
      </c>
      <c r="H18" s="235"/>
      <c r="I18" s="235"/>
      <c r="J18" s="235"/>
      <c r="K18" s="235"/>
      <c r="L18" s="235"/>
      <c r="M18" s="238">
        <f t="shared" si="3"/>
        <v>0</v>
      </c>
      <c r="N18" s="222"/>
      <c r="O18" s="222"/>
      <c r="P18" s="222"/>
      <c r="Q18" s="238">
        <f t="shared" si="4"/>
        <v>0</v>
      </c>
      <c r="R18" s="235"/>
      <c r="S18" s="235"/>
      <c r="T18" s="235"/>
      <c r="U18" s="33">
        <f t="shared" si="6"/>
        <v>2.5</v>
      </c>
      <c r="V18" s="235">
        <v>1.76</v>
      </c>
      <c r="W18" s="235"/>
      <c r="X18" s="235">
        <v>0.74</v>
      </c>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55" t="s">
        <v>107</v>
      </c>
      <c r="BI18" s="219" t="s">
        <v>106</v>
      </c>
      <c r="BJ18" s="226" t="s">
        <v>108</v>
      </c>
      <c r="BK18" s="241" t="s">
        <v>74</v>
      </c>
      <c r="BL18" s="409"/>
      <c r="BM18" s="226" t="s">
        <v>1026</v>
      </c>
    </row>
    <row r="19" spans="1:65" s="252" customFormat="1" x14ac:dyDescent="0.25">
      <c r="A19" s="56" t="s">
        <v>109</v>
      </c>
      <c r="B19" s="57" t="s">
        <v>110</v>
      </c>
      <c r="C19" s="58"/>
      <c r="D19" s="44"/>
      <c r="E19" s="45">
        <f t="shared" si="0"/>
        <v>6.5000000000000009</v>
      </c>
      <c r="F19" s="59">
        <f>SUM(F20:F37)</f>
        <v>0</v>
      </c>
      <c r="G19" s="59">
        <f>SUM(G20:G37)</f>
        <v>6.5000000000000009</v>
      </c>
      <c r="H19" s="59">
        <f>SUM(H20:H37)</f>
        <v>0.3</v>
      </c>
      <c r="I19" s="59">
        <f t="shared" ref="I19:BG19" si="7">SUM(I20:I37)</f>
        <v>0.13</v>
      </c>
      <c r="J19" s="59">
        <f t="shared" si="7"/>
        <v>0</v>
      </c>
      <c r="K19" s="59">
        <f t="shared" si="7"/>
        <v>0.28000000000000003</v>
      </c>
      <c r="L19" s="59">
        <f t="shared" si="7"/>
        <v>0.27</v>
      </c>
      <c r="M19" s="59">
        <f t="shared" si="7"/>
        <v>0</v>
      </c>
      <c r="N19" s="59">
        <f t="shared" si="7"/>
        <v>0</v>
      </c>
      <c r="O19" s="59">
        <f t="shared" si="7"/>
        <v>0</v>
      </c>
      <c r="P19" s="59">
        <f t="shared" si="7"/>
        <v>0</v>
      </c>
      <c r="Q19" s="59">
        <f t="shared" si="7"/>
        <v>0</v>
      </c>
      <c r="R19" s="59">
        <f t="shared" si="7"/>
        <v>0</v>
      </c>
      <c r="S19" s="59">
        <f t="shared" si="7"/>
        <v>0</v>
      </c>
      <c r="T19" s="59">
        <f t="shared" si="7"/>
        <v>0</v>
      </c>
      <c r="U19" s="71">
        <f t="shared" si="7"/>
        <v>4.87</v>
      </c>
      <c r="V19" s="59">
        <f t="shared" si="7"/>
        <v>1</v>
      </c>
      <c r="W19" s="59">
        <f t="shared" si="7"/>
        <v>0.27</v>
      </c>
      <c r="X19" s="59">
        <f t="shared" si="7"/>
        <v>3.5999999999999996</v>
      </c>
      <c r="Y19" s="59">
        <f t="shared" si="7"/>
        <v>0</v>
      </c>
      <c r="Z19" s="59">
        <f t="shared" si="7"/>
        <v>0</v>
      </c>
      <c r="AA19" s="59">
        <f t="shared" si="7"/>
        <v>0</v>
      </c>
      <c r="AB19" s="59">
        <f t="shared" si="7"/>
        <v>0</v>
      </c>
      <c r="AC19" s="59">
        <f t="shared" si="7"/>
        <v>0</v>
      </c>
      <c r="AD19" s="59">
        <f t="shared" si="7"/>
        <v>0</v>
      </c>
      <c r="AE19" s="59">
        <f t="shared" si="7"/>
        <v>0</v>
      </c>
      <c r="AF19" s="59">
        <f t="shared" si="7"/>
        <v>0.03</v>
      </c>
      <c r="AG19" s="59">
        <f t="shared" si="7"/>
        <v>0</v>
      </c>
      <c r="AH19" s="59">
        <f t="shared" si="7"/>
        <v>0</v>
      </c>
      <c r="AI19" s="59">
        <f t="shared" si="7"/>
        <v>0</v>
      </c>
      <c r="AJ19" s="59">
        <f t="shared" si="7"/>
        <v>0</v>
      </c>
      <c r="AK19" s="59">
        <f t="shared" si="7"/>
        <v>0.35000000000000003</v>
      </c>
      <c r="AL19" s="59">
        <f t="shared" si="7"/>
        <v>0</v>
      </c>
      <c r="AM19" s="59">
        <f t="shared" si="7"/>
        <v>0</v>
      </c>
      <c r="AN19" s="59">
        <f t="shared" si="7"/>
        <v>0</v>
      </c>
      <c r="AO19" s="59">
        <f t="shared" si="7"/>
        <v>0</v>
      </c>
      <c r="AP19" s="59">
        <f t="shared" si="7"/>
        <v>0</v>
      </c>
      <c r="AQ19" s="59">
        <f t="shared" si="7"/>
        <v>0</v>
      </c>
      <c r="AR19" s="59">
        <f t="shared" si="7"/>
        <v>0</v>
      </c>
      <c r="AS19" s="59">
        <f t="shared" si="7"/>
        <v>0</v>
      </c>
      <c r="AT19" s="59">
        <f t="shared" si="7"/>
        <v>0</v>
      </c>
      <c r="AU19" s="59">
        <f t="shared" si="7"/>
        <v>0</v>
      </c>
      <c r="AV19" s="59">
        <f t="shared" si="7"/>
        <v>0.05</v>
      </c>
      <c r="AW19" s="59">
        <f t="shared" si="7"/>
        <v>0</v>
      </c>
      <c r="AX19" s="59">
        <f t="shared" si="7"/>
        <v>0</v>
      </c>
      <c r="AY19" s="59">
        <f t="shared" si="7"/>
        <v>0</v>
      </c>
      <c r="AZ19" s="59">
        <f t="shared" si="7"/>
        <v>0</v>
      </c>
      <c r="BA19" s="59">
        <f t="shared" si="7"/>
        <v>0</v>
      </c>
      <c r="BB19" s="59">
        <f t="shared" si="7"/>
        <v>0</v>
      </c>
      <c r="BC19" s="59">
        <f t="shared" si="7"/>
        <v>0</v>
      </c>
      <c r="BD19" s="59">
        <f t="shared" si="7"/>
        <v>0</v>
      </c>
      <c r="BE19" s="59">
        <f t="shared" si="7"/>
        <v>0</v>
      </c>
      <c r="BF19" s="59">
        <f t="shared" si="7"/>
        <v>0.01</v>
      </c>
      <c r="BG19" s="59">
        <f t="shared" si="7"/>
        <v>0.21</v>
      </c>
      <c r="BH19" s="231"/>
      <c r="BI19" s="58"/>
      <c r="BJ19" s="58"/>
      <c r="BK19" s="228"/>
      <c r="BL19" s="229"/>
      <c r="BM19" s="58"/>
    </row>
    <row r="20" spans="1:65" s="252" customFormat="1" ht="31.5" x14ac:dyDescent="0.25">
      <c r="A20" s="249">
        <f>A18+1</f>
        <v>12</v>
      </c>
      <c r="B20" s="221" t="s">
        <v>111</v>
      </c>
      <c r="C20" s="223" t="s">
        <v>65</v>
      </c>
      <c r="D20" s="218" t="s">
        <v>30</v>
      </c>
      <c r="E20" s="48">
        <f t="shared" si="0"/>
        <v>3.4999999999999996</v>
      </c>
      <c r="F20" s="20"/>
      <c r="G20" s="28">
        <f>SUM(H20:BG20)-U20</f>
        <v>3.4999999999999996</v>
      </c>
      <c r="H20" s="235">
        <v>0.03</v>
      </c>
      <c r="I20" s="235"/>
      <c r="J20" s="235"/>
      <c r="K20" s="235">
        <v>0.02</v>
      </c>
      <c r="L20" s="235"/>
      <c r="M20" s="238">
        <f>SUM(N20:P20)</f>
        <v>0</v>
      </c>
      <c r="N20" s="238"/>
      <c r="O20" s="238"/>
      <c r="P20" s="238"/>
      <c r="Q20" s="238">
        <f>SUM(R20:T20)</f>
        <v>0</v>
      </c>
      <c r="R20" s="235"/>
      <c r="S20" s="235"/>
      <c r="T20" s="235"/>
      <c r="U20" s="33">
        <f>SUM(V20:X20)</f>
        <v>3.4499999999999997</v>
      </c>
      <c r="V20" s="60">
        <v>0.09</v>
      </c>
      <c r="W20" s="60"/>
      <c r="X20" s="60">
        <v>3.36</v>
      </c>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t="s">
        <v>112</v>
      </c>
      <c r="BI20" s="223" t="s">
        <v>65</v>
      </c>
      <c r="BJ20" s="243" t="s">
        <v>113</v>
      </c>
      <c r="BK20" s="241" t="s">
        <v>398</v>
      </c>
      <c r="BL20" s="409" t="s">
        <v>114</v>
      </c>
      <c r="BM20" s="437" t="s">
        <v>1026</v>
      </c>
    </row>
    <row r="21" spans="1:65" s="252" customFormat="1" ht="31.5" x14ac:dyDescent="0.25">
      <c r="A21" s="249">
        <f>A20+1</f>
        <v>13</v>
      </c>
      <c r="B21" s="221" t="s">
        <v>115</v>
      </c>
      <c r="C21" s="223" t="s">
        <v>65</v>
      </c>
      <c r="D21" s="218" t="s">
        <v>30</v>
      </c>
      <c r="E21" s="48">
        <f t="shared" si="0"/>
        <v>0.5</v>
      </c>
      <c r="F21" s="20" t="s">
        <v>116</v>
      </c>
      <c r="G21" s="28">
        <f t="shared" ref="G21:G37" si="8">SUM(H21:BG21)-U21</f>
        <v>0.5</v>
      </c>
      <c r="H21" s="235"/>
      <c r="I21" s="235"/>
      <c r="J21" s="235"/>
      <c r="K21" s="235"/>
      <c r="L21" s="235"/>
      <c r="M21" s="238"/>
      <c r="N21" s="238"/>
      <c r="O21" s="238"/>
      <c r="P21" s="238"/>
      <c r="Q21" s="238"/>
      <c r="R21" s="235"/>
      <c r="S21" s="235"/>
      <c r="T21" s="235"/>
      <c r="U21" s="33">
        <f>SUM(V21:X21)</f>
        <v>0.5</v>
      </c>
      <c r="V21" s="60">
        <v>0.5</v>
      </c>
      <c r="W21" s="60"/>
      <c r="X21" s="60"/>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t="s">
        <v>112</v>
      </c>
      <c r="BI21" s="223" t="s">
        <v>65</v>
      </c>
      <c r="BJ21" s="243" t="s">
        <v>117</v>
      </c>
      <c r="BK21" s="241" t="s">
        <v>398</v>
      </c>
      <c r="BL21" s="409"/>
      <c r="BM21" s="437"/>
    </row>
    <row r="22" spans="1:65" s="252" customFormat="1" ht="47.25" x14ac:dyDescent="0.25">
      <c r="A22" s="351">
        <f t="shared" ref="A22:A37" si="9">A21+1</f>
        <v>14</v>
      </c>
      <c r="B22" s="352" t="s">
        <v>118</v>
      </c>
      <c r="C22" s="359" t="s">
        <v>1082</v>
      </c>
      <c r="D22" s="354" t="s">
        <v>30</v>
      </c>
      <c r="E22" s="355">
        <f>SUM(F22:G22)</f>
        <v>0.28000000000000003</v>
      </c>
      <c r="F22" s="20"/>
      <c r="G22" s="28">
        <f t="shared" si="8"/>
        <v>0.28000000000000003</v>
      </c>
      <c r="H22" s="235"/>
      <c r="I22" s="235"/>
      <c r="J22" s="235"/>
      <c r="K22" s="235"/>
      <c r="L22" s="235">
        <v>0.02</v>
      </c>
      <c r="M22" s="238">
        <f>SUM(N22:P22)</f>
        <v>0</v>
      </c>
      <c r="N22" s="238"/>
      <c r="O22" s="238"/>
      <c r="P22" s="238"/>
      <c r="Q22" s="238">
        <f>SUM(R22:T22)</f>
        <v>0</v>
      </c>
      <c r="R22" s="235"/>
      <c r="S22" s="235"/>
      <c r="T22" s="235"/>
      <c r="U22" s="33"/>
      <c r="V22" s="60"/>
      <c r="W22" s="60"/>
      <c r="X22" s="60"/>
      <c r="Y22" s="235"/>
      <c r="Z22" s="235"/>
      <c r="AA22" s="235"/>
      <c r="AB22" s="235"/>
      <c r="AC22" s="235"/>
      <c r="AD22" s="235"/>
      <c r="AE22" s="235"/>
      <c r="AF22" s="235"/>
      <c r="AG22" s="235"/>
      <c r="AH22" s="235"/>
      <c r="AI22" s="235"/>
      <c r="AJ22" s="235"/>
      <c r="AK22" s="62">
        <v>0.26</v>
      </c>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t="s">
        <v>66</v>
      </c>
      <c r="BI22" s="243" t="s">
        <v>1082</v>
      </c>
      <c r="BJ22" s="243" t="s">
        <v>119</v>
      </c>
      <c r="BK22" s="241" t="s">
        <v>120</v>
      </c>
      <c r="BL22" s="409"/>
      <c r="BM22" s="437"/>
    </row>
    <row r="23" spans="1:65" s="252" customFormat="1" ht="31.5" x14ac:dyDescent="0.25">
      <c r="A23" s="351">
        <f t="shared" si="9"/>
        <v>15</v>
      </c>
      <c r="B23" s="352" t="s">
        <v>121</v>
      </c>
      <c r="C23" s="353" t="s">
        <v>122</v>
      </c>
      <c r="D23" s="354" t="s">
        <v>30</v>
      </c>
      <c r="E23" s="355">
        <f>SUM(F23:G23)</f>
        <v>0.19999999999999998</v>
      </c>
      <c r="F23" s="21"/>
      <c r="G23" s="28">
        <f t="shared" si="8"/>
        <v>0.19999999999999998</v>
      </c>
      <c r="H23" s="235">
        <v>0.11</v>
      </c>
      <c r="I23" s="32">
        <v>7.0000000000000007E-2</v>
      </c>
      <c r="J23" s="32"/>
      <c r="K23" s="235"/>
      <c r="L23" s="235"/>
      <c r="M23" s="235"/>
      <c r="N23" s="235"/>
      <c r="O23" s="235"/>
      <c r="P23" s="235"/>
      <c r="Q23" s="33"/>
      <c r="R23" s="235"/>
      <c r="S23" s="235"/>
      <c r="T23" s="235"/>
      <c r="U23" s="33"/>
      <c r="V23" s="235"/>
      <c r="W23" s="235"/>
      <c r="X23" s="235"/>
      <c r="Y23" s="235"/>
      <c r="Z23" s="235"/>
      <c r="AA23" s="235"/>
      <c r="AB23" s="235"/>
      <c r="AC23" s="235"/>
      <c r="AD23" s="235"/>
      <c r="AE23" s="235"/>
      <c r="AF23" s="235">
        <v>0.02</v>
      </c>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t="s">
        <v>123</v>
      </c>
      <c r="BI23" s="226" t="s">
        <v>122</v>
      </c>
      <c r="BJ23" s="226" t="s">
        <v>124</v>
      </c>
      <c r="BK23" s="241" t="s">
        <v>120</v>
      </c>
      <c r="BL23" s="409"/>
      <c r="BM23" s="226" t="s">
        <v>1026</v>
      </c>
    </row>
    <row r="24" spans="1:65" s="252" customFormat="1" ht="31.5" x14ac:dyDescent="0.25">
      <c r="A24" s="249">
        <f t="shared" si="9"/>
        <v>16</v>
      </c>
      <c r="B24" s="61" t="s">
        <v>125</v>
      </c>
      <c r="C24" s="226" t="s">
        <v>79</v>
      </c>
      <c r="D24" s="218" t="s">
        <v>30</v>
      </c>
      <c r="E24" s="48">
        <f>SUM(F24:G24)</f>
        <v>0.17000000000000004</v>
      </c>
      <c r="F24" s="21"/>
      <c r="G24" s="28">
        <f t="shared" si="8"/>
        <v>0.17000000000000004</v>
      </c>
      <c r="H24" s="60"/>
      <c r="I24" s="49"/>
      <c r="J24" s="62"/>
      <c r="K24" s="235">
        <v>0.05</v>
      </c>
      <c r="L24" s="60"/>
      <c r="M24" s="238">
        <f>SUM(N24:P24)</f>
        <v>0</v>
      </c>
      <c r="N24" s="238"/>
      <c r="O24" s="238"/>
      <c r="P24" s="247"/>
      <c r="Q24" s="238">
        <f>R24+S24+T24</f>
        <v>0</v>
      </c>
      <c r="R24" s="235"/>
      <c r="S24" s="235"/>
      <c r="T24" s="235"/>
      <c r="U24" s="33">
        <f>SUM(V24:X24)</f>
        <v>0.11</v>
      </c>
      <c r="V24" s="60"/>
      <c r="W24" s="60"/>
      <c r="X24" s="60">
        <v>0.11</v>
      </c>
      <c r="Y24" s="235"/>
      <c r="Z24" s="235"/>
      <c r="AA24" s="235"/>
      <c r="AB24" s="235"/>
      <c r="AC24" s="235"/>
      <c r="AD24" s="235"/>
      <c r="AE24" s="235"/>
      <c r="AF24" s="235"/>
      <c r="AG24" s="235"/>
      <c r="AH24" s="235"/>
      <c r="AI24" s="235"/>
      <c r="AJ24" s="235"/>
      <c r="AK24" s="62"/>
      <c r="AL24" s="235"/>
      <c r="AM24" s="235"/>
      <c r="AN24" s="235"/>
      <c r="AO24" s="235"/>
      <c r="AP24" s="235"/>
      <c r="AQ24" s="235"/>
      <c r="AR24" s="235"/>
      <c r="AS24" s="235"/>
      <c r="AT24" s="235"/>
      <c r="AU24" s="235"/>
      <c r="AV24" s="235"/>
      <c r="AW24" s="235"/>
      <c r="AX24" s="235"/>
      <c r="AY24" s="235"/>
      <c r="AZ24" s="235"/>
      <c r="BA24" s="235"/>
      <c r="BB24" s="235"/>
      <c r="BC24" s="235"/>
      <c r="BD24" s="235"/>
      <c r="BE24" s="235"/>
      <c r="BF24" s="235">
        <v>0.01</v>
      </c>
      <c r="BG24" s="235"/>
      <c r="BH24" s="63" t="s">
        <v>126</v>
      </c>
      <c r="BI24" s="226" t="s">
        <v>79</v>
      </c>
      <c r="BJ24" s="226" t="s">
        <v>127</v>
      </c>
      <c r="BK24" s="241" t="s">
        <v>68</v>
      </c>
      <c r="BL24" s="409"/>
      <c r="BM24" s="226" t="s">
        <v>1026</v>
      </c>
    </row>
    <row r="25" spans="1:65" s="252" customFormat="1" ht="31.5" x14ac:dyDescent="0.25">
      <c r="A25" s="249">
        <f t="shared" si="9"/>
        <v>17</v>
      </c>
      <c r="B25" s="61" t="s">
        <v>128</v>
      </c>
      <c r="C25" s="219" t="s">
        <v>82</v>
      </c>
      <c r="D25" s="218" t="s">
        <v>30</v>
      </c>
      <c r="E25" s="48">
        <f t="shared" si="0"/>
        <v>0.16999999999999996</v>
      </c>
      <c r="F25" s="28"/>
      <c r="G25" s="28">
        <f t="shared" si="8"/>
        <v>0.16999999999999996</v>
      </c>
      <c r="H25" s="33"/>
      <c r="I25" s="51"/>
      <c r="J25" s="51"/>
      <c r="K25" s="51"/>
      <c r="L25" s="64">
        <v>0.02</v>
      </c>
      <c r="M25" s="238">
        <f>SUM(N25:P25)</f>
        <v>0</v>
      </c>
      <c r="N25" s="238"/>
      <c r="O25" s="238"/>
      <c r="P25" s="238"/>
      <c r="Q25" s="238">
        <f>R25+S25+T25</f>
        <v>0</v>
      </c>
      <c r="R25" s="33"/>
      <c r="S25" s="33"/>
      <c r="T25" s="33"/>
      <c r="U25" s="33">
        <f t="shared" ref="U25:U30" si="10">SUM(V25:X25)</f>
        <v>0.15</v>
      </c>
      <c r="V25" s="64"/>
      <c r="W25" s="60">
        <v>0.15</v>
      </c>
      <c r="X25" s="60"/>
      <c r="Y25" s="235"/>
      <c r="Z25" s="235"/>
      <c r="AA25" s="235"/>
      <c r="AB25" s="235"/>
      <c r="AC25" s="235"/>
      <c r="AD25" s="235"/>
      <c r="AE25" s="235"/>
      <c r="AF25" s="235"/>
      <c r="AG25" s="235"/>
      <c r="AH25" s="235"/>
      <c r="AI25" s="235"/>
      <c r="AJ25" s="235"/>
      <c r="AK25" s="49"/>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53" t="s">
        <v>83</v>
      </c>
      <c r="BI25" s="219" t="s">
        <v>82</v>
      </c>
      <c r="BJ25" s="63" t="s">
        <v>129</v>
      </c>
      <c r="BK25" s="241" t="s">
        <v>68</v>
      </c>
      <c r="BL25" s="409"/>
      <c r="BM25" s="226" t="s">
        <v>1026</v>
      </c>
    </row>
    <row r="26" spans="1:65" s="252" customFormat="1" ht="31.5" x14ac:dyDescent="0.25">
      <c r="A26" s="351">
        <f t="shared" si="9"/>
        <v>18</v>
      </c>
      <c r="B26" s="352" t="s">
        <v>130</v>
      </c>
      <c r="C26" s="353" t="s">
        <v>87</v>
      </c>
      <c r="D26" s="354" t="s">
        <v>30</v>
      </c>
      <c r="E26" s="355">
        <f t="shared" si="0"/>
        <v>0.15</v>
      </c>
      <c r="F26" s="21"/>
      <c r="G26" s="28">
        <f t="shared" si="8"/>
        <v>0.15</v>
      </c>
      <c r="H26" s="60"/>
      <c r="I26" s="49"/>
      <c r="J26" s="62"/>
      <c r="K26" s="235"/>
      <c r="L26" s="60"/>
      <c r="M26" s="222">
        <f>SUM(N26:P26)</f>
        <v>0</v>
      </c>
      <c r="N26" s="222"/>
      <c r="O26" s="222"/>
      <c r="P26" s="222"/>
      <c r="Q26" s="222">
        <f>R26+S26+T26</f>
        <v>0</v>
      </c>
      <c r="R26" s="235"/>
      <c r="S26" s="235"/>
      <c r="T26" s="235"/>
      <c r="U26" s="33">
        <f t="shared" si="10"/>
        <v>0.15</v>
      </c>
      <c r="V26" s="60">
        <v>0.15</v>
      </c>
      <c r="W26" s="60"/>
      <c r="X26" s="60"/>
      <c r="Y26" s="235"/>
      <c r="Z26" s="235"/>
      <c r="AA26" s="235"/>
      <c r="AB26" s="235"/>
      <c r="AC26" s="235"/>
      <c r="AD26" s="235"/>
      <c r="AE26" s="235"/>
      <c r="AF26" s="235"/>
      <c r="AG26" s="235"/>
      <c r="AH26" s="235"/>
      <c r="AI26" s="235"/>
      <c r="AJ26" s="235"/>
      <c r="AK26" s="62"/>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t="s">
        <v>131</v>
      </c>
      <c r="BI26" s="226" t="s">
        <v>87</v>
      </c>
      <c r="BJ26" s="226" t="s">
        <v>132</v>
      </c>
      <c r="BK26" s="241" t="s">
        <v>120</v>
      </c>
      <c r="BL26" s="409"/>
      <c r="BM26" s="226" t="s">
        <v>1026</v>
      </c>
    </row>
    <row r="27" spans="1:65" s="252" customFormat="1" ht="31.5" x14ac:dyDescent="0.25">
      <c r="A27" s="351">
        <f t="shared" si="9"/>
        <v>19</v>
      </c>
      <c r="B27" s="352" t="s">
        <v>133</v>
      </c>
      <c r="C27" s="356" t="s">
        <v>134</v>
      </c>
      <c r="D27" s="354" t="s">
        <v>30</v>
      </c>
      <c r="E27" s="355">
        <f t="shared" si="0"/>
        <v>0.1</v>
      </c>
      <c r="F27" s="21"/>
      <c r="G27" s="28">
        <f t="shared" si="8"/>
        <v>0.1</v>
      </c>
      <c r="H27" s="60"/>
      <c r="I27" s="49"/>
      <c r="J27" s="49"/>
      <c r="K27" s="235"/>
      <c r="L27" s="60"/>
      <c r="M27" s="238"/>
      <c r="N27" s="238"/>
      <c r="O27" s="238"/>
      <c r="P27" s="238"/>
      <c r="Q27" s="238"/>
      <c r="R27" s="235"/>
      <c r="S27" s="235"/>
      <c r="T27" s="235"/>
      <c r="U27" s="33">
        <f t="shared" si="10"/>
        <v>0.1</v>
      </c>
      <c r="V27" s="60">
        <v>0.1</v>
      </c>
      <c r="W27" s="60"/>
      <c r="X27" s="60"/>
      <c r="Y27" s="235"/>
      <c r="Z27" s="235"/>
      <c r="AA27" s="235"/>
      <c r="AB27" s="235"/>
      <c r="AC27" s="235"/>
      <c r="AD27" s="235"/>
      <c r="AE27" s="235"/>
      <c r="AF27" s="235"/>
      <c r="AG27" s="235"/>
      <c r="AH27" s="235"/>
      <c r="AI27" s="235"/>
      <c r="AJ27" s="235"/>
      <c r="AK27" s="62"/>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t="s">
        <v>135</v>
      </c>
      <c r="BI27" s="219" t="s">
        <v>134</v>
      </c>
      <c r="BJ27" s="226" t="s">
        <v>136</v>
      </c>
      <c r="BK27" s="241" t="s">
        <v>120</v>
      </c>
      <c r="BL27" s="409"/>
      <c r="BM27" s="226" t="s">
        <v>1026</v>
      </c>
    </row>
    <row r="28" spans="1:65" s="252" customFormat="1" ht="31.5" x14ac:dyDescent="0.25">
      <c r="A28" s="351">
        <f t="shared" si="9"/>
        <v>20</v>
      </c>
      <c r="B28" s="352" t="s">
        <v>137</v>
      </c>
      <c r="C28" s="357" t="s">
        <v>138</v>
      </c>
      <c r="D28" s="354" t="s">
        <v>30</v>
      </c>
      <c r="E28" s="355">
        <f t="shared" si="0"/>
        <v>0.15</v>
      </c>
      <c r="F28" s="21"/>
      <c r="G28" s="28">
        <f t="shared" si="8"/>
        <v>0.15</v>
      </c>
      <c r="H28" s="60">
        <v>0.11</v>
      </c>
      <c r="I28" s="62"/>
      <c r="J28" s="235"/>
      <c r="K28" s="235"/>
      <c r="L28" s="235">
        <v>0.04</v>
      </c>
      <c r="M28" s="238">
        <f t="shared" ref="M28:M37" si="11">SUM(N28:P28)</f>
        <v>0</v>
      </c>
      <c r="N28" s="247"/>
      <c r="O28" s="247"/>
      <c r="P28" s="247"/>
      <c r="Q28" s="238">
        <f t="shared" ref="Q28:Q37" si="12">R28+S28+T28</f>
        <v>0</v>
      </c>
      <c r="R28" s="235"/>
      <c r="S28" s="235"/>
      <c r="T28" s="235"/>
      <c r="U28" s="33"/>
      <c r="V28" s="60"/>
      <c r="W28" s="60"/>
      <c r="X28" s="60"/>
      <c r="Y28" s="235"/>
      <c r="Z28" s="235"/>
      <c r="AA28" s="235"/>
      <c r="AB28" s="235"/>
      <c r="AC28" s="235"/>
      <c r="AD28" s="235"/>
      <c r="AE28" s="235"/>
      <c r="AF28" s="235"/>
      <c r="AG28" s="235"/>
      <c r="AH28" s="235"/>
      <c r="AI28" s="235"/>
      <c r="AJ28" s="235"/>
      <c r="AK28" s="62"/>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t="s">
        <v>139</v>
      </c>
      <c r="BI28" s="65" t="s">
        <v>138</v>
      </c>
      <c r="BJ28" s="226" t="s">
        <v>140</v>
      </c>
      <c r="BK28" s="241" t="s">
        <v>68</v>
      </c>
      <c r="BL28" s="409" t="s">
        <v>114</v>
      </c>
      <c r="BM28" s="226" t="s">
        <v>1026</v>
      </c>
    </row>
    <row r="29" spans="1:65" s="252" customFormat="1" ht="31.5" x14ac:dyDescent="0.25">
      <c r="A29" s="351">
        <f t="shared" si="9"/>
        <v>21</v>
      </c>
      <c r="B29" s="352" t="s">
        <v>141</v>
      </c>
      <c r="C29" s="353" t="s">
        <v>142</v>
      </c>
      <c r="D29" s="354" t="s">
        <v>30</v>
      </c>
      <c r="E29" s="355">
        <f t="shared" si="0"/>
        <v>0.15000000000000002</v>
      </c>
      <c r="F29" s="21"/>
      <c r="G29" s="28">
        <f t="shared" si="8"/>
        <v>0.15000000000000002</v>
      </c>
      <c r="H29" s="60">
        <v>0.05</v>
      </c>
      <c r="I29" s="62"/>
      <c r="J29" s="62"/>
      <c r="K29" s="235"/>
      <c r="L29" s="60"/>
      <c r="M29" s="238">
        <f t="shared" si="11"/>
        <v>0</v>
      </c>
      <c r="N29" s="247"/>
      <c r="O29" s="247"/>
      <c r="P29" s="247"/>
      <c r="Q29" s="238">
        <f t="shared" si="12"/>
        <v>0</v>
      </c>
      <c r="R29" s="235"/>
      <c r="S29" s="235"/>
      <c r="T29" s="235"/>
      <c r="U29" s="238">
        <f>SUM(V29:X29)</f>
        <v>0.09</v>
      </c>
      <c r="V29" s="60">
        <v>0.09</v>
      </c>
      <c r="W29" s="60"/>
      <c r="X29" s="60"/>
      <c r="Y29" s="235"/>
      <c r="Z29" s="235"/>
      <c r="AA29" s="235"/>
      <c r="AB29" s="235"/>
      <c r="AC29" s="235"/>
      <c r="AD29" s="235"/>
      <c r="AE29" s="235"/>
      <c r="AF29" s="235"/>
      <c r="AG29" s="235"/>
      <c r="AH29" s="235"/>
      <c r="AI29" s="235"/>
      <c r="AJ29" s="235"/>
      <c r="AK29" s="62"/>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v>0.01</v>
      </c>
      <c r="BH29" s="232" t="s">
        <v>143</v>
      </c>
      <c r="BI29" s="226" t="s">
        <v>142</v>
      </c>
      <c r="BJ29" s="226" t="s">
        <v>144</v>
      </c>
      <c r="BK29" s="241" t="s">
        <v>120</v>
      </c>
      <c r="BL29" s="409"/>
      <c r="BM29" s="226" t="s">
        <v>1026</v>
      </c>
    </row>
    <row r="30" spans="1:65" s="252" customFormat="1" ht="31.5" x14ac:dyDescent="0.25">
      <c r="A30" s="249">
        <f t="shared" si="9"/>
        <v>22</v>
      </c>
      <c r="B30" s="61" t="s">
        <v>145</v>
      </c>
      <c r="C30" s="36" t="s">
        <v>91</v>
      </c>
      <c r="D30" s="218" t="s">
        <v>30</v>
      </c>
      <c r="E30" s="48">
        <f t="shared" si="0"/>
        <v>0.1</v>
      </c>
      <c r="F30" s="21"/>
      <c r="G30" s="28">
        <f t="shared" si="8"/>
        <v>0.1</v>
      </c>
      <c r="H30" s="60"/>
      <c r="I30" s="62"/>
      <c r="J30" s="62"/>
      <c r="K30" s="235"/>
      <c r="L30" s="60"/>
      <c r="M30" s="238">
        <f t="shared" si="11"/>
        <v>0</v>
      </c>
      <c r="N30" s="247"/>
      <c r="O30" s="247"/>
      <c r="P30" s="247"/>
      <c r="Q30" s="238">
        <f t="shared" si="12"/>
        <v>0</v>
      </c>
      <c r="R30" s="235"/>
      <c r="S30" s="235"/>
      <c r="T30" s="235"/>
      <c r="U30" s="33">
        <f t="shared" si="10"/>
        <v>7.0000000000000007E-2</v>
      </c>
      <c r="V30" s="60">
        <v>7.0000000000000007E-2</v>
      </c>
      <c r="W30" s="60"/>
      <c r="X30" s="60"/>
      <c r="Y30" s="235"/>
      <c r="Z30" s="235"/>
      <c r="AA30" s="235"/>
      <c r="AB30" s="235"/>
      <c r="AC30" s="235"/>
      <c r="AD30" s="235"/>
      <c r="AE30" s="235"/>
      <c r="AF30" s="235"/>
      <c r="AG30" s="235"/>
      <c r="AH30" s="235"/>
      <c r="AI30" s="235"/>
      <c r="AJ30" s="235"/>
      <c r="AK30" s="62">
        <v>0.03</v>
      </c>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2" t="s">
        <v>92</v>
      </c>
      <c r="BI30" s="36" t="s">
        <v>91</v>
      </c>
      <c r="BJ30" s="36" t="s">
        <v>146</v>
      </c>
      <c r="BK30" s="241" t="s">
        <v>120</v>
      </c>
      <c r="BL30" s="409"/>
      <c r="BM30" s="226" t="s">
        <v>1026</v>
      </c>
    </row>
    <row r="31" spans="1:65" s="252" customFormat="1" ht="31.5" x14ac:dyDescent="0.25">
      <c r="A31" s="351">
        <f t="shared" si="9"/>
        <v>23</v>
      </c>
      <c r="B31" s="352" t="s">
        <v>147</v>
      </c>
      <c r="C31" s="358" t="s">
        <v>95</v>
      </c>
      <c r="D31" s="354" t="s">
        <v>30</v>
      </c>
      <c r="E31" s="355">
        <f t="shared" si="0"/>
        <v>0.16</v>
      </c>
      <c r="F31" s="21"/>
      <c r="G31" s="28">
        <f t="shared" si="8"/>
        <v>0.16</v>
      </c>
      <c r="H31" s="60"/>
      <c r="I31" s="62"/>
      <c r="J31" s="62"/>
      <c r="K31" s="235">
        <v>0.11</v>
      </c>
      <c r="L31" s="60"/>
      <c r="M31" s="238">
        <f t="shared" si="11"/>
        <v>0</v>
      </c>
      <c r="N31" s="247"/>
      <c r="O31" s="247"/>
      <c r="P31" s="247"/>
      <c r="Q31" s="238">
        <f t="shared" si="12"/>
        <v>0</v>
      </c>
      <c r="R31" s="235"/>
      <c r="S31" s="235"/>
      <c r="T31" s="235"/>
      <c r="U31" s="33"/>
      <c r="V31" s="60"/>
      <c r="W31" s="60"/>
      <c r="X31" s="60"/>
      <c r="Y31" s="235"/>
      <c r="Z31" s="235"/>
      <c r="AA31" s="235"/>
      <c r="AB31" s="235"/>
      <c r="AC31" s="235"/>
      <c r="AD31" s="235"/>
      <c r="AE31" s="235"/>
      <c r="AF31" s="235"/>
      <c r="AG31" s="235"/>
      <c r="AH31" s="235"/>
      <c r="AI31" s="235"/>
      <c r="AJ31" s="235"/>
      <c r="AK31" s="62"/>
      <c r="AL31" s="235"/>
      <c r="AM31" s="235"/>
      <c r="AN31" s="235"/>
      <c r="AO31" s="235"/>
      <c r="AP31" s="235"/>
      <c r="AQ31" s="235"/>
      <c r="AR31" s="235"/>
      <c r="AS31" s="235"/>
      <c r="AT31" s="235"/>
      <c r="AU31" s="235"/>
      <c r="AV31" s="235">
        <v>0.05</v>
      </c>
      <c r="AW31" s="235"/>
      <c r="AX31" s="235"/>
      <c r="AY31" s="235"/>
      <c r="AZ31" s="235"/>
      <c r="BA31" s="235"/>
      <c r="BB31" s="235"/>
      <c r="BC31" s="235"/>
      <c r="BD31" s="235"/>
      <c r="BE31" s="235"/>
      <c r="BF31" s="235"/>
      <c r="BG31" s="235"/>
      <c r="BH31" s="232" t="s">
        <v>96</v>
      </c>
      <c r="BI31" s="36" t="s">
        <v>95</v>
      </c>
      <c r="BJ31" s="226" t="s">
        <v>148</v>
      </c>
      <c r="BK31" s="241" t="s">
        <v>120</v>
      </c>
      <c r="BL31" s="409"/>
      <c r="BM31" s="226" t="s">
        <v>1026</v>
      </c>
    </row>
    <row r="32" spans="1:65" s="252" customFormat="1" ht="31.5" x14ac:dyDescent="0.25">
      <c r="A32" s="249">
        <f t="shared" si="9"/>
        <v>24</v>
      </c>
      <c r="B32" s="61" t="s">
        <v>149</v>
      </c>
      <c r="C32" s="226" t="s">
        <v>150</v>
      </c>
      <c r="D32" s="218" t="s">
        <v>30</v>
      </c>
      <c r="E32" s="48">
        <f t="shared" si="0"/>
        <v>0.13</v>
      </c>
      <c r="F32" s="21"/>
      <c r="G32" s="28">
        <f t="shared" si="8"/>
        <v>0.13</v>
      </c>
      <c r="H32" s="60"/>
      <c r="I32" s="62"/>
      <c r="J32" s="62"/>
      <c r="K32" s="235">
        <v>0.1</v>
      </c>
      <c r="L32" s="60"/>
      <c r="M32" s="238">
        <f t="shared" si="11"/>
        <v>0</v>
      </c>
      <c r="N32" s="247"/>
      <c r="O32" s="247"/>
      <c r="P32" s="247"/>
      <c r="Q32" s="238">
        <f t="shared" si="12"/>
        <v>0</v>
      </c>
      <c r="R32" s="235"/>
      <c r="S32" s="235"/>
      <c r="T32" s="235"/>
      <c r="U32" s="33"/>
      <c r="V32" s="60"/>
      <c r="W32" s="60"/>
      <c r="X32" s="60"/>
      <c r="Y32" s="235"/>
      <c r="Z32" s="235"/>
      <c r="AA32" s="235"/>
      <c r="AB32" s="235"/>
      <c r="AC32" s="235"/>
      <c r="AD32" s="235"/>
      <c r="AE32" s="235"/>
      <c r="AF32" s="235"/>
      <c r="AG32" s="235"/>
      <c r="AH32" s="235"/>
      <c r="AI32" s="235"/>
      <c r="AJ32" s="235"/>
      <c r="AK32" s="62"/>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v>0.03</v>
      </c>
      <c r="BH32" s="235" t="s">
        <v>151</v>
      </c>
      <c r="BI32" s="226" t="s">
        <v>150</v>
      </c>
      <c r="BJ32" s="226" t="s">
        <v>152</v>
      </c>
      <c r="BK32" s="66" t="s">
        <v>68</v>
      </c>
      <c r="BL32" s="409"/>
      <c r="BM32" s="226" t="s">
        <v>1026</v>
      </c>
    </row>
    <row r="33" spans="1:65" s="252" customFormat="1" ht="31.5" x14ac:dyDescent="0.25">
      <c r="A33" s="351">
        <f t="shared" si="9"/>
        <v>25</v>
      </c>
      <c r="B33" s="352" t="s">
        <v>153</v>
      </c>
      <c r="C33" s="360" t="s">
        <v>154</v>
      </c>
      <c r="D33" s="354" t="s">
        <v>30</v>
      </c>
      <c r="E33" s="355">
        <f t="shared" si="0"/>
        <v>0.15</v>
      </c>
      <c r="F33" s="21"/>
      <c r="G33" s="28">
        <f t="shared" si="8"/>
        <v>0.15</v>
      </c>
      <c r="H33" s="29"/>
      <c r="I33" s="20"/>
      <c r="J33" s="20"/>
      <c r="K33" s="28"/>
      <c r="L33" s="29">
        <v>0.08</v>
      </c>
      <c r="M33" s="30">
        <f t="shared" si="11"/>
        <v>0</v>
      </c>
      <c r="N33" s="30"/>
      <c r="O33" s="30"/>
      <c r="P33" s="30"/>
      <c r="Q33" s="30">
        <f t="shared" si="12"/>
        <v>0</v>
      </c>
      <c r="R33" s="28"/>
      <c r="S33" s="28"/>
      <c r="T33" s="28"/>
      <c r="U33" s="33"/>
      <c r="V33" s="29"/>
      <c r="W33" s="29"/>
      <c r="X33" s="29"/>
      <c r="Y33" s="28"/>
      <c r="Z33" s="28"/>
      <c r="AA33" s="28"/>
      <c r="AB33" s="28"/>
      <c r="AC33" s="28"/>
      <c r="AD33" s="28"/>
      <c r="AE33" s="28"/>
      <c r="AF33" s="28">
        <v>0.01</v>
      </c>
      <c r="AG33" s="28"/>
      <c r="AH33" s="28"/>
      <c r="AI33" s="28"/>
      <c r="AJ33" s="28"/>
      <c r="AK33" s="20">
        <v>0.06</v>
      </c>
      <c r="AL33" s="28"/>
      <c r="AM33" s="28"/>
      <c r="AN33" s="28"/>
      <c r="AO33" s="28"/>
      <c r="AP33" s="28"/>
      <c r="AQ33" s="28"/>
      <c r="AR33" s="28"/>
      <c r="AS33" s="28"/>
      <c r="AT33" s="28"/>
      <c r="AU33" s="28"/>
      <c r="AV33" s="28"/>
      <c r="AW33" s="28"/>
      <c r="AX33" s="28"/>
      <c r="AY33" s="28"/>
      <c r="AZ33" s="28"/>
      <c r="BA33" s="28"/>
      <c r="BB33" s="28"/>
      <c r="BC33" s="28"/>
      <c r="BD33" s="28"/>
      <c r="BE33" s="28"/>
      <c r="BF33" s="28"/>
      <c r="BG33" s="28"/>
      <c r="BH33" s="235" t="s">
        <v>155</v>
      </c>
      <c r="BI33" s="67" t="s">
        <v>154</v>
      </c>
      <c r="BJ33" s="226" t="s">
        <v>156</v>
      </c>
      <c r="BK33" s="241" t="s">
        <v>120</v>
      </c>
      <c r="BL33" s="409"/>
      <c r="BM33" s="226" t="s">
        <v>1026</v>
      </c>
    </row>
    <row r="34" spans="1:65" s="252" customFormat="1" ht="31.5" x14ac:dyDescent="0.25">
      <c r="A34" s="249">
        <f t="shared" si="9"/>
        <v>26</v>
      </c>
      <c r="B34" s="61" t="s">
        <v>157</v>
      </c>
      <c r="C34" s="65" t="s">
        <v>158</v>
      </c>
      <c r="D34" s="218" t="s">
        <v>30</v>
      </c>
      <c r="E34" s="48">
        <f t="shared" si="0"/>
        <v>0.18999999999999997</v>
      </c>
      <c r="F34" s="21"/>
      <c r="G34" s="28">
        <f t="shared" si="8"/>
        <v>0.18999999999999997</v>
      </c>
      <c r="H34" s="60"/>
      <c r="I34" s="62">
        <v>0.06</v>
      </c>
      <c r="J34" s="62"/>
      <c r="K34" s="235"/>
      <c r="L34" s="60">
        <v>0.11</v>
      </c>
      <c r="M34" s="238">
        <f t="shared" si="11"/>
        <v>0</v>
      </c>
      <c r="N34" s="247"/>
      <c r="O34" s="247"/>
      <c r="P34" s="247"/>
      <c r="Q34" s="238">
        <f t="shared" si="12"/>
        <v>0</v>
      </c>
      <c r="R34" s="235"/>
      <c r="S34" s="235"/>
      <c r="T34" s="235"/>
      <c r="U34" s="33"/>
      <c r="V34" s="60"/>
      <c r="W34" s="60"/>
      <c r="X34" s="60"/>
      <c r="Y34" s="235"/>
      <c r="Z34" s="235"/>
      <c r="AA34" s="235"/>
      <c r="AB34" s="235"/>
      <c r="AC34" s="235"/>
      <c r="AD34" s="235"/>
      <c r="AE34" s="235"/>
      <c r="AF34" s="235"/>
      <c r="AG34" s="235"/>
      <c r="AH34" s="235"/>
      <c r="AI34" s="235"/>
      <c r="AJ34" s="235"/>
      <c r="AK34" s="62"/>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v>0.02</v>
      </c>
      <c r="BH34" s="55" t="s">
        <v>159</v>
      </c>
      <c r="BI34" s="65" t="s">
        <v>158</v>
      </c>
      <c r="BJ34" s="68" t="s">
        <v>160</v>
      </c>
      <c r="BK34" s="241" t="s">
        <v>68</v>
      </c>
      <c r="BL34" s="409"/>
      <c r="BM34" s="226" t="s">
        <v>1026</v>
      </c>
    </row>
    <row r="35" spans="1:65" s="252" customFormat="1" ht="31.5" x14ac:dyDescent="0.25">
      <c r="A35" s="249">
        <f t="shared" si="9"/>
        <v>27</v>
      </c>
      <c r="B35" s="61" t="s">
        <v>161</v>
      </c>
      <c r="C35" s="36" t="s">
        <v>99</v>
      </c>
      <c r="D35" s="218" t="s">
        <v>30</v>
      </c>
      <c r="E35" s="48">
        <f t="shared" si="0"/>
        <v>0.15</v>
      </c>
      <c r="F35" s="21"/>
      <c r="G35" s="28">
        <f t="shared" si="8"/>
        <v>0.15</v>
      </c>
      <c r="H35" s="60"/>
      <c r="I35" s="49"/>
      <c r="J35" s="62"/>
      <c r="K35" s="235"/>
      <c r="L35" s="60"/>
      <c r="M35" s="222">
        <f t="shared" si="11"/>
        <v>0</v>
      </c>
      <c r="N35" s="222"/>
      <c r="O35" s="222"/>
      <c r="P35" s="222"/>
      <c r="Q35" s="222">
        <f t="shared" si="12"/>
        <v>0</v>
      </c>
      <c r="R35" s="235"/>
      <c r="S35" s="235"/>
      <c r="T35" s="235"/>
      <c r="U35" s="33"/>
      <c r="V35" s="60"/>
      <c r="W35" s="60"/>
      <c r="X35" s="60"/>
      <c r="Y35" s="235"/>
      <c r="Z35" s="235"/>
      <c r="AA35" s="235"/>
      <c r="AB35" s="235"/>
      <c r="AC35" s="235"/>
      <c r="AD35" s="235"/>
      <c r="AE35" s="235"/>
      <c r="AF35" s="235"/>
      <c r="AG35" s="235"/>
      <c r="AH35" s="235"/>
      <c r="AI35" s="235"/>
      <c r="AJ35" s="235"/>
      <c r="AK35" s="62"/>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52">
        <v>0.15</v>
      </c>
      <c r="BH35" s="232" t="s">
        <v>100</v>
      </c>
      <c r="BI35" s="36" t="s">
        <v>99</v>
      </c>
      <c r="BJ35" s="232" t="s">
        <v>162</v>
      </c>
      <c r="BK35" s="241" t="s">
        <v>74</v>
      </c>
      <c r="BL35" s="409"/>
      <c r="BM35" s="226" t="s">
        <v>1026</v>
      </c>
    </row>
    <row r="36" spans="1:65" s="252" customFormat="1" ht="31.5" x14ac:dyDescent="0.25">
      <c r="A36" s="249">
        <f t="shared" si="9"/>
        <v>28</v>
      </c>
      <c r="B36" s="61" t="s">
        <v>163</v>
      </c>
      <c r="C36" s="219" t="s">
        <v>106</v>
      </c>
      <c r="D36" s="218" t="s">
        <v>30</v>
      </c>
      <c r="E36" s="48">
        <f t="shared" si="0"/>
        <v>0.13</v>
      </c>
      <c r="F36" s="21"/>
      <c r="G36" s="28">
        <f t="shared" si="8"/>
        <v>0.13</v>
      </c>
      <c r="H36" s="60"/>
      <c r="I36" s="49"/>
      <c r="J36" s="49"/>
      <c r="K36" s="235"/>
      <c r="L36" s="60"/>
      <c r="M36" s="222">
        <f t="shared" si="11"/>
        <v>0</v>
      </c>
      <c r="N36" s="222"/>
      <c r="O36" s="222"/>
      <c r="P36" s="222"/>
      <c r="Q36" s="222">
        <f t="shared" si="12"/>
        <v>0</v>
      </c>
      <c r="R36" s="235"/>
      <c r="S36" s="235"/>
      <c r="T36" s="235"/>
      <c r="U36" s="33">
        <f>SUM(V36:X36)</f>
        <v>0.13</v>
      </c>
      <c r="V36" s="60"/>
      <c r="W36" s="60"/>
      <c r="X36" s="60">
        <v>0.13</v>
      </c>
      <c r="Y36" s="235"/>
      <c r="Z36" s="235"/>
      <c r="AA36" s="235"/>
      <c r="AB36" s="235"/>
      <c r="AC36" s="235"/>
      <c r="AD36" s="235"/>
      <c r="AE36" s="235"/>
      <c r="AF36" s="235"/>
      <c r="AG36" s="235"/>
      <c r="AH36" s="235"/>
      <c r="AI36" s="235"/>
      <c r="AJ36" s="235"/>
      <c r="AK36" s="49"/>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t="s">
        <v>107</v>
      </c>
      <c r="BI36" s="219" t="s">
        <v>106</v>
      </c>
      <c r="BJ36" s="219" t="s">
        <v>164</v>
      </c>
      <c r="BK36" s="241" t="s">
        <v>68</v>
      </c>
      <c r="BL36" s="409"/>
      <c r="BM36" s="226" t="s">
        <v>1026</v>
      </c>
    </row>
    <row r="37" spans="1:65" s="252" customFormat="1" ht="31.5" x14ac:dyDescent="0.25">
      <c r="A37" s="249">
        <f t="shared" si="9"/>
        <v>29</v>
      </c>
      <c r="B37" s="61" t="s">
        <v>165</v>
      </c>
      <c r="C37" s="219" t="s">
        <v>166</v>
      </c>
      <c r="D37" s="218" t="s">
        <v>30</v>
      </c>
      <c r="E37" s="48">
        <f t="shared" si="0"/>
        <v>0.12</v>
      </c>
      <c r="F37" s="21"/>
      <c r="G37" s="28">
        <f t="shared" si="8"/>
        <v>0.12</v>
      </c>
      <c r="H37" s="60"/>
      <c r="I37" s="62"/>
      <c r="J37" s="62"/>
      <c r="K37" s="64"/>
      <c r="L37" s="64"/>
      <c r="M37" s="222">
        <f t="shared" si="11"/>
        <v>0</v>
      </c>
      <c r="N37" s="50"/>
      <c r="O37" s="50"/>
      <c r="P37" s="50"/>
      <c r="Q37" s="222">
        <f t="shared" si="12"/>
        <v>0</v>
      </c>
      <c r="R37" s="235"/>
      <c r="S37" s="235"/>
      <c r="T37" s="235"/>
      <c r="U37" s="222">
        <f>SUM(V37:X37)</f>
        <v>0.12</v>
      </c>
      <c r="V37" s="60"/>
      <c r="W37" s="60">
        <v>0.12</v>
      </c>
      <c r="X37" s="60"/>
      <c r="Y37" s="235"/>
      <c r="Z37" s="235"/>
      <c r="AA37" s="235"/>
      <c r="AB37" s="235"/>
      <c r="AC37" s="235"/>
      <c r="AD37" s="235"/>
      <c r="AE37" s="235"/>
      <c r="AF37" s="235"/>
      <c r="AG37" s="235"/>
      <c r="AH37" s="235"/>
      <c r="AI37" s="235"/>
      <c r="AJ37" s="235"/>
      <c r="AK37" s="62"/>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t="s">
        <v>167</v>
      </c>
      <c r="BI37" s="219" t="s">
        <v>166</v>
      </c>
      <c r="BJ37" s="219" t="s">
        <v>168</v>
      </c>
      <c r="BK37" s="66" t="s">
        <v>68</v>
      </c>
      <c r="BL37" s="409"/>
      <c r="BM37" s="226" t="s">
        <v>1026</v>
      </c>
    </row>
    <row r="38" spans="1:65" s="252" customFormat="1" x14ac:dyDescent="0.25">
      <c r="A38" s="56" t="s">
        <v>169</v>
      </c>
      <c r="B38" s="43" t="s">
        <v>170</v>
      </c>
      <c r="C38" s="223"/>
      <c r="D38" s="44"/>
      <c r="E38" s="69">
        <f>F38+G38</f>
        <v>87.37</v>
      </c>
      <c r="F38" s="46">
        <f>SUM(F39:F40)</f>
        <v>0</v>
      </c>
      <c r="G38" s="46">
        <f>SUM(G39:G40)</f>
        <v>87.37</v>
      </c>
      <c r="H38" s="46">
        <f>SUM(H39:H40)</f>
        <v>9.4699999999999989</v>
      </c>
      <c r="I38" s="46">
        <f t="shared" ref="I38:BG38" si="13">SUM(I39:I40)</f>
        <v>4.37</v>
      </c>
      <c r="J38" s="46">
        <f t="shared" si="13"/>
        <v>0</v>
      </c>
      <c r="K38" s="46">
        <f t="shared" si="13"/>
        <v>6.5400000000000009</v>
      </c>
      <c r="L38" s="46">
        <f t="shared" si="13"/>
        <v>1.3199999999999998</v>
      </c>
      <c r="M38" s="46">
        <f t="shared" si="13"/>
        <v>0</v>
      </c>
      <c r="N38" s="46">
        <f t="shared" si="13"/>
        <v>0</v>
      </c>
      <c r="O38" s="46">
        <f t="shared" si="13"/>
        <v>0</v>
      </c>
      <c r="P38" s="46">
        <f t="shared" si="13"/>
        <v>0</v>
      </c>
      <c r="Q38" s="46">
        <f t="shared" si="13"/>
        <v>0</v>
      </c>
      <c r="R38" s="46">
        <f t="shared" si="13"/>
        <v>0</v>
      </c>
      <c r="S38" s="46">
        <f t="shared" si="13"/>
        <v>0</v>
      </c>
      <c r="T38" s="46">
        <f t="shared" si="13"/>
        <v>0</v>
      </c>
      <c r="U38" s="47">
        <f t="shared" si="13"/>
        <v>62.5</v>
      </c>
      <c r="V38" s="46">
        <f t="shared" si="13"/>
        <v>38.130000000000003</v>
      </c>
      <c r="W38" s="46">
        <f t="shared" si="13"/>
        <v>16.03</v>
      </c>
      <c r="X38" s="46">
        <f t="shared" si="13"/>
        <v>8.34</v>
      </c>
      <c r="Y38" s="46">
        <f t="shared" si="13"/>
        <v>0.32</v>
      </c>
      <c r="Z38" s="46">
        <f t="shared" si="13"/>
        <v>0</v>
      </c>
      <c r="AA38" s="46">
        <f t="shared" si="13"/>
        <v>0</v>
      </c>
      <c r="AB38" s="46">
        <f t="shared" si="13"/>
        <v>0</v>
      </c>
      <c r="AC38" s="46">
        <f t="shared" si="13"/>
        <v>0</v>
      </c>
      <c r="AD38" s="46">
        <f t="shared" si="13"/>
        <v>0</v>
      </c>
      <c r="AE38" s="46">
        <f t="shared" si="13"/>
        <v>0</v>
      </c>
      <c r="AF38" s="46">
        <f t="shared" si="13"/>
        <v>1.62</v>
      </c>
      <c r="AG38" s="46">
        <f t="shared" si="13"/>
        <v>0.18</v>
      </c>
      <c r="AH38" s="46">
        <f t="shared" si="13"/>
        <v>0</v>
      </c>
      <c r="AI38" s="46">
        <f t="shared" si="13"/>
        <v>0</v>
      </c>
      <c r="AJ38" s="46">
        <f t="shared" si="13"/>
        <v>0</v>
      </c>
      <c r="AK38" s="46">
        <f t="shared" si="13"/>
        <v>0</v>
      </c>
      <c r="AL38" s="46">
        <f t="shared" si="13"/>
        <v>0</v>
      </c>
      <c r="AM38" s="46">
        <f t="shared" si="13"/>
        <v>0</v>
      </c>
      <c r="AN38" s="46">
        <f t="shared" si="13"/>
        <v>0</v>
      </c>
      <c r="AO38" s="46">
        <f t="shared" si="13"/>
        <v>0</v>
      </c>
      <c r="AP38" s="46">
        <f t="shared" si="13"/>
        <v>0</v>
      </c>
      <c r="AQ38" s="46">
        <f t="shared" si="13"/>
        <v>0</v>
      </c>
      <c r="AR38" s="46">
        <f t="shared" si="13"/>
        <v>0</v>
      </c>
      <c r="AS38" s="46">
        <f t="shared" si="13"/>
        <v>0</v>
      </c>
      <c r="AT38" s="46">
        <f t="shared" si="13"/>
        <v>0.19</v>
      </c>
      <c r="AU38" s="46">
        <f t="shared" si="13"/>
        <v>0</v>
      </c>
      <c r="AV38" s="46">
        <f t="shared" si="13"/>
        <v>0</v>
      </c>
      <c r="AW38" s="46">
        <f t="shared" si="13"/>
        <v>0</v>
      </c>
      <c r="AX38" s="46">
        <f t="shared" si="13"/>
        <v>0</v>
      </c>
      <c r="AY38" s="46">
        <f t="shared" si="13"/>
        <v>0</v>
      </c>
      <c r="AZ38" s="46">
        <f t="shared" si="13"/>
        <v>0</v>
      </c>
      <c r="BA38" s="46">
        <f t="shared" si="13"/>
        <v>0</v>
      </c>
      <c r="BB38" s="46">
        <f t="shared" si="13"/>
        <v>0</v>
      </c>
      <c r="BC38" s="46">
        <f t="shared" si="13"/>
        <v>0.02</v>
      </c>
      <c r="BD38" s="46">
        <f t="shared" si="13"/>
        <v>0.48</v>
      </c>
      <c r="BE38" s="46">
        <f t="shared" si="13"/>
        <v>0</v>
      </c>
      <c r="BF38" s="46">
        <f t="shared" si="13"/>
        <v>0</v>
      </c>
      <c r="BG38" s="46">
        <f t="shared" si="13"/>
        <v>0.36</v>
      </c>
      <c r="BH38" s="235"/>
      <c r="BI38" s="223"/>
      <c r="BJ38" s="223"/>
      <c r="BK38" s="220"/>
      <c r="BL38" s="218"/>
      <c r="BM38" s="218"/>
    </row>
    <row r="39" spans="1:65" s="252" customFormat="1" ht="31.5" x14ac:dyDescent="0.25">
      <c r="A39" s="215">
        <f>A37+1</f>
        <v>30</v>
      </c>
      <c r="B39" s="35" t="s">
        <v>171</v>
      </c>
      <c r="C39" s="219" t="s">
        <v>82</v>
      </c>
      <c r="D39" s="218" t="s">
        <v>172</v>
      </c>
      <c r="E39" s="28">
        <f>F39+G39</f>
        <v>47.870000000000005</v>
      </c>
      <c r="F39" s="28"/>
      <c r="G39" s="28">
        <f>SUM(H39:M39,Q39,U39,Y39:BG39)</f>
        <v>47.870000000000005</v>
      </c>
      <c r="H39" s="238">
        <v>7.64</v>
      </c>
      <c r="I39" s="240">
        <v>2.27</v>
      </c>
      <c r="J39" s="238"/>
      <c r="K39" s="238">
        <v>4.1900000000000004</v>
      </c>
      <c r="L39" s="238">
        <v>0.84</v>
      </c>
      <c r="M39" s="238">
        <f>SUM(N39:P39)</f>
        <v>0</v>
      </c>
      <c r="N39" s="238"/>
      <c r="O39" s="238"/>
      <c r="P39" s="238"/>
      <c r="Q39" s="238">
        <f>R39+S39+T39</f>
        <v>0</v>
      </c>
      <c r="R39" s="238"/>
      <c r="S39" s="238"/>
      <c r="T39" s="238"/>
      <c r="U39" s="238">
        <f>SUM(V39:X39)</f>
        <v>30.839999999999996</v>
      </c>
      <c r="V39" s="240">
        <v>15.51</v>
      </c>
      <c r="W39" s="238">
        <v>10.79</v>
      </c>
      <c r="X39" s="238">
        <v>4.54</v>
      </c>
      <c r="Y39" s="238">
        <v>0.27</v>
      </c>
      <c r="Z39" s="238"/>
      <c r="AA39" s="238"/>
      <c r="AB39" s="238"/>
      <c r="AC39" s="238"/>
      <c r="AD39" s="238"/>
      <c r="AE39" s="238"/>
      <c r="AF39" s="238">
        <v>1.26</v>
      </c>
      <c r="AG39" s="238">
        <v>0.18</v>
      </c>
      <c r="AH39" s="238"/>
      <c r="AI39" s="238"/>
      <c r="AJ39" s="238"/>
      <c r="AK39" s="238"/>
      <c r="AL39" s="238"/>
      <c r="AM39" s="238"/>
      <c r="AN39" s="238"/>
      <c r="AO39" s="238"/>
      <c r="AP39" s="238"/>
      <c r="AQ39" s="238"/>
      <c r="AR39" s="238"/>
      <c r="AS39" s="238"/>
      <c r="AT39" s="240">
        <v>0.06</v>
      </c>
      <c r="AU39" s="238"/>
      <c r="AV39" s="238"/>
      <c r="AW39" s="238"/>
      <c r="AX39" s="238"/>
      <c r="AY39" s="238"/>
      <c r="AZ39" s="238"/>
      <c r="BA39" s="238"/>
      <c r="BB39" s="238"/>
      <c r="BC39" s="238">
        <v>0.02</v>
      </c>
      <c r="BD39" s="238"/>
      <c r="BE39" s="238"/>
      <c r="BF39" s="238"/>
      <c r="BG39" s="238">
        <v>0.3</v>
      </c>
      <c r="BH39" s="219" t="s">
        <v>173</v>
      </c>
      <c r="BI39" s="219" t="s">
        <v>82</v>
      </c>
      <c r="BJ39" s="243" t="s">
        <v>174</v>
      </c>
      <c r="BK39" s="241" t="s">
        <v>120</v>
      </c>
      <c r="BL39" s="409" t="s">
        <v>175</v>
      </c>
      <c r="BM39" s="226" t="s">
        <v>1026</v>
      </c>
    </row>
    <row r="40" spans="1:65" s="252" customFormat="1" ht="31.5" x14ac:dyDescent="0.25">
      <c r="A40" s="215">
        <f>A39+1</f>
        <v>31</v>
      </c>
      <c r="B40" s="35" t="s">
        <v>176</v>
      </c>
      <c r="C40" s="219" t="s">
        <v>82</v>
      </c>
      <c r="D40" s="218" t="s">
        <v>172</v>
      </c>
      <c r="E40" s="28">
        <f>F40+G40</f>
        <v>39.5</v>
      </c>
      <c r="F40" s="28"/>
      <c r="G40" s="28">
        <f>SUM(H40:M40,Q40,U40,Y40:BG40)</f>
        <v>39.5</v>
      </c>
      <c r="H40" s="238">
        <v>1.83</v>
      </c>
      <c r="I40" s="240">
        <v>2.1</v>
      </c>
      <c r="J40" s="238"/>
      <c r="K40" s="238">
        <v>2.35</v>
      </c>
      <c r="L40" s="238">
        <v>0.48</v>
      </c>
      <c r="M40" s="238"/>
      <c r="N40" s="238"/>
      <c r="O40" s="238"/>
      <c r="P40" s="238"/>
      <c r="Q40" s="238"/>
      <c r="R40" s="238"/>
      <c r="S40" s="238"/>
      <c r="T40" s="238"/>
      <c r="U40" s="238">
        <f>SUM(V40:X40)</f>
        <v>31.66</v>
      </c>
      <c r="V40" s="240">
        <v>22.62</v>
      </c>
      <c r="W40" s="238">
        <v>5.24</v>
      </c>
      <c r="X40" s="238">
        <v>3.8</v>
      </c>
      <c r="Y40" s="238">
        <v>0.05</v>
      </c>
      <c r="Z40" s="238"/>
      <c r="AA40" s="238"/>
      <c r="AB40" s="238"/>
      <c r="AC40" s="238"/>
      <c r="AD40" s="238"/>
      <c r="AE40" s="238"/>
      <c r="AF40" s="238">
        <v>0.36</v>
      </c>
      <c r="AG40" s="238"/>
      <c r="AH40" s="238"/>
      <c r="AI40" s="238"/>
      <c r="AJ40" s="238"/>
      <c r="AK40" s="238"/>
      <c r="AL40" s="238"/>
      <c r="AM40" s="238"/>
      <c r="AN40" s="238"/>
      <c r="AO40" s="238"/>
      <c r="AP40" s="238"/>
      <c r="AQ40" s="238"/>
      <c r="AR40" s="238"/>
      <c r="AS40" s="238"/>
      <c r="AT40" s="240">
        <v>0.13</v>
      </c>
      <c r="AU40" s="238"/>
      <c r="AV40" s="238"/>
      <c r="AW40" s="238"/>
      <c r="AX40" s="238"/>
      <c r="AY40" s="238"/>
      <c r="AZ40" s="238"/>
      <c r="BA40" s="238"/>
      <c r="BB40" s="238"/>
      <c r="BC40" s="238"/>
      <c r="BD40" s="238">
        <v>0.48</v>
      </c>
      <c r="BE40" s="238"/>
      <c r="BF40" s="238"/>
      <c r="BG40" s="238">
        <v>0.06</v>
      </c>
      <c r="BH40" s="219" t="s">
        <v>173</v>
      </c>
      <c r="BI40" s="219" t="s">
        <v>82</v>
      </c>
      <c r="BJ40" s="243" t="s">
        <v>177</v>
      </c>
      <c r="BK40" s="241" t="s">
        <v>120</v>
      </c>
      <c r="BL40" s="409"/>
      <c r="BM40" s="226" t="s">
        <v>1026</v>
      </c>
    </row>
    <row r="41" spans="1:65" s="252" customFormat="1" x14ac:dyDescent="0.25">
      <c r="A41" s="56" t="s">
        <v>178</v>
      </c>
      <c r="B41" s="70" t="s">
        <v>179</v>
      </c>
      <c r="C41" s="71"/>
      <c r="D41" s="44"/>
      <c r="E41" s="59">
        <f>F41+G41</f>
        <v>32.56</v>
      </c>
      <c r="F41" s="72">
        <f t="shared" ref="F41:AK41" si="14">F47+F52+F57+F127+F64+F65+F58+F59+F60+F61+F62+F63</f>
        <v>0</v>
      </c>
      <c r="G41" s="72">
        <f t="shared" si="14"/>
        <v>32.56</v>
      </c>
      <c r="H41" s="72">
        <f t="shared" si="14"/>
        <v>1.23</v>
      </c>
      <c r="I41" s="72">
        <f t="shared" si="14"/>
        <v>1.24</v>
      </c>
      <c r="J41" s="72">
        <f t="shared" si="14"/>
        <v>0</v>
      </c>
      <c r="K41" s="72">
        <f t="shared" si="14"/>
        <v>6.0799999999999992</v>
      </c>
      <c r="L41" s="72">
        <f t="shared" si="14"/>
        <v>2.57</v>
      </c>
      <c r="M41" s="72">
        <f t="shared" si="14"/>
        <v>1.3</v>
      </c>
      <c r="N41" s="72">
        <f t="shared" si="14"/>
        <v>1.3</v>
      </c>
      <c r="O41" s="72">
        <f t="shared" si="14"/>
        <v>0</v>
      </c>
      <c r="P41" s="72">
        <f t="shared" si="14"/>
        <v>0</v>
      </c>
      <c r="Q41" s="72">
        <f t="shared" si="14"/>
        <v>0</v>
      </c>
      <c r="R41" s="72">
        <f t="shared" si="14"/>
        <v>0</v>
      </c>
      <c r="S41" s="72">
        <f t="shared" si="14"/>
        <v>0</v>
      </c>
      <c r="T41" s="72">
        <f t="shared" si="14"/>
        <v>0</v>
      </c>
      <c r="U41" s="165">
        <f t="shared" si="14"/>
        <v>16.29</v>
      </c>
      <c r="V41" s="72">
        <f t="shared" si="14"/>
        <v>14.37</v>
      </c>
      <c r="W41" s="72">
        <f t="shared" si="14"/>
        <v>1.57</v>
      </c>
      <c r="X41" s="72">
        <f t="shared" si="14"/>
        <v>0.35</v>
      </c>
      <c r="Y41" s="72">
        <f t="shared" si="14"/>
        <v>0.1</v>
      </c>
      <c r="Z41" s="72">
        <f t="shared" si="14"/>
        <v>0</v>
      </c>
      <c r="AA41" s="72">
        <f t="shared" si="14"/>
        <v>0</v>
      </c>
      <c r="AB41" s="72">
        <f t="shared" si="14"/>
        <v>0</v>
      </c>
      <c r="AC41" s="72">
        <f t="shared" si="14"/>
        <v>0</v>
      </c>
      <c r="AD41" s="72">
        <f t="shared" si="14"/>
        <v>0</v>
      </c>
      <c r="AE41" s="72">
        <f t="shared" si="14"/>
        <v>0</v>
      </c>
      <c r="AF41" s="72">
        <f t="shared" si="14"/>
        <v>3.16</v>
      </c>
      <c r="AG41" s="72">
        <f t="shared" si="14"/>
        <v>0.18</v>
      </c>
      <c r="AH41" s="72">
        <f t="shared" si="14"/>
        <v>0</v>
      </c>
      <c r="AI41" s="72">
        <f t="shared" si="14"/>
        <v>0</v>
      </c>
      <c r="AJ41" s="72">
        <f t="shared" si="14"/>
        <v>0</v>
      </c>
      <c r="AK41" s="72">
        <f t="shared" si="14"/>
        <v>0</v>
      </c>
      <c r="AL41" s="72">
        <f t="shared" ref="AL41:BG41" si="15">AL47+AL52+AL57+AL127+AL64+AL65+AL58+AL59+AL60+AL61+AL62+AL63</f>
        <v>0</v>
      </c>
      <c r="AM41" s="72">
        <f t="shared" si="15"/>
        <v>0</v>
      </c>
      <c r="AN41" s="72">
        <f t="shared" si="15"/>
        <v>0</v>
      </c>
      <c r="AO41" s="72">
        <f t="shared" si="15"/>
        <v>0</v>
      </c>
      <c r="AP41" s="72">
        <f t="shared" si="15"/>
        <v>0</v>
      </c>
      <c r="AQ41" s="72">
        <f t="shared" si="15"/>
        <v>0</v>
      </c>
      <c r="AR41" s="72">
        <f t="shared" si="15"/>
        <v>0</v>
      </c>
      <c r="AS41" s="72">
        <f t="shared" si="15"/>
        <v>0</v>
      </c>
      <c r="AT41" s="72">
        <f t="shared" si="15"/>
        <v>0.24</v>
      </c>
      <c r="AU41" s="72">
        <f t="shared" si="15"/>
        <v>0</v>
      </c>
      <c r="AV41" s="72">
        <f t="shared" si="15"/>
        <v>0.02</v>
      </c>
      <c r="AW41" s="72">
        <f t="shared" si="15"/>
        <v>0</v>
      </c>
      <c r="AX41" s="72">
        <f t="shared" si="15"/>
        <v>0</v>
      </c>
      <c r="AY41" s="72">
        <f t="shared" si="15"/>
        <v>0</v>
      </c>
      <c r="AZ41" s="72">
        <f t="shared" si="15"/>
        <v>0</v>
      </c>
      <c r="BA41" s="72">
        <f t="shared" si="15"/>
        <v>0</v>
      </c>
      <c r="BB41" s="72">
        <f t="shared" si="15"/>
        <v>0</v>
      </c>
      <c r="BC41" s="72">
        <f t="shared" si="15"/>
        <v>0</v>
      </c>
      <c r="BD41" s="72">
        <f t="shared" si="15"/>
        <v>0.15</v>
      </c>
      <c r="BE41" s="72">
        <f t="shared" si="15"/>
        <v>0</v>
      </c>
      <c r="BF41" s="72">
        <f t="shared" si="15"/>
        <v>0</v>
      </c>
      <c r="BG41" s="72">
        <f t="shared" si="15"/>
        <v>0</v>
      </c>
      <c r="BH41" s="71"/>
      <c r="BI41" s="71"/>
      <c r="BJ41" s="71"/>
      <c r="BK41" s="71"/>
      <c r="BL41" s="47"/>
      <c r="BM41" s="47"/>
    </row>
    <row r="42" spans="1:65" s="252" customFormat="1" ht="39.75" customHeight="1" x14ac:dyDescent="0.25">
      <c r="A42" s="407">
        <f>A40+1</f>
        <v>32</v>
      </c>
      <c r="B42" s="221" t="s">
        <v>1000</v>
      </c>
      <c r="C42" s="409" t="s">
        <v>180</v>
      </c>
      <c r="D42" s="243"/>
      <c r="E42" s="20">
        <f>F42+G42</f>
        <v>22.14</v>
      </c>
      <c r="F42" s="21"/>
      <c r="G42" s="28">
        <f>SUM(H42:M42,Q42,U42,Y42:BG42)</f>
        <v>22.14</v>
      </c>
      <c r="H42" s="73">
        <f>SUM(H44:H47)</f>
        <v>1.1000000000000001</v>
      </c>
      <c r="I42" s="73">
        <f>SUM(I44:I47)</f>
        <v>0.5</v>
      </c>
      <c r="J42" s="73"/>
      <c r="K42" s="62">
        <v>3.85</v>
      </c>
      <c r="L42" s="73">
        <f t="shared" ref="L42:BG42" si="16">SUM(L44:L47)</f>
        <v>6.49</v>
      </c>
      <c r="M42" s="73">
        <f t="shared" si="16"/>
        <v>0</v>
      </c>
      <c r="N42" s="73">
        <f t="shared" si="16"/>
        <v>0</v>
      </c>
      <c r="O42" s="73">
        <f t="shared" si="16"/>
        <v>0</v>
      </c>
      <c r="P42" s="73">
        <f t="shared" si="16"/>
        <v>0</v>
      </c>
      <c r="Q42" s="73">
        <f t="shared" si="16"/>
        <v>0</v>
      </c>
      <c r="R42" s="73">
        <f t="shared" si="16"/>
        <v>0</v>
      </c>
      <c r="S42" s="73">
        <f t="shared" si="16"/>
        <v>0</v>
      </c>
      <c r="T42" s="73">
        <f t="shared" si="16"/>
        <v>0</v>
      </c>
      <c r="U42" s="238">
        <f t="shared" si="16"/>
        <v>8.1999999999999993</v>
      </c>
      <c r="V42" s="73">
        <f t="shared" si="16"/>
        <v>8.1999999999999993</v>
      </c>
      <c r="W42" s="73">
        <f t="shared" si="16"/>
        <v>0</v>
      </c>
      <c r="X42" s="73">
        <f t="shared" si="16"/>
        <v>0</v>
      </c>
      <c r="Y42" s="73">
        <f t="shared" si="16"/>
        <v>0</v>
      </c>
      <c r="Z42" s="73">
        <f t="shared" si="16"/>
        <v>0</v>
      </c>
      <c r="AA42" s="73">
        <f t="shared" si="16"/>
        <v>0</v>
      </c>
      <c r="AB42" s="73">
        <f t="shared" si="16"/>
        <v>0</v>
      </c>
      <c r="AC42" s="73">
        <f t="shared" si="16"/>
        <v>0</v>
      </c>
      <c r="AD42" s="73">
        <f t="shared" si="16"/>
        <v>0</v>
      </c>
      <c r="AE42" s="73">
        <f t="shared" si="16"/>
        <v>0</v>
      </c>
      <c r="AF42" s="73">
        <f t="shared" si="16"/>
        <v>2</v>
      </c>
      <c r="AG42" s="73">
        <f t="shared" si="16"/>
        <v>0</v>
      </c>
      <c r="AH42" s="73">
        <f t="shared" si="16"/>
        <v>0</v>
      </c>
      <c r="AI42" s="73">
        <f t="shared" si="16"/>
        <v>0</v>
      </c>
      <c r="AJ42" s="73">
        <f t="shared" si="16"/>
        <v>0</v>
      </c>
      <c r="AK42" s="73">
        <f t="shared" si="16"/>
        <v>0</v>
      </c>
      <c r="AL42" s="73">
        <f t="shared" si="16"/>
        <v>0</v>
      </c>
      <c r="AM42" s="73">
        <f t="shared" si="16"/>
        <v>0</v>
      </c>
      <c r="AN42" s="73">
        <f t="shared" si="16"/>
        <v>0</v>
      </c>
      <c r="AO42" s="73">
        <f t="shared" si="16"/>
        <v>0</v>
      </c>
      <c r="AP42" s="73">
        <f t="shared" si="16"/>
        <v>0</v>
      </c>
      <c r="AQ42" s="73">
        <f t="shared" si="16"/>
        <v>0</v>
      </c>
      <c r="AR42" s="73">
        <f t="shared" si="16"/>
        <v>0</v>
      </c>
      <c r="AS42" s="73">
        <f t="shared" si="16"/>
        <v>0</v>
      </c>
      <c r="AT42" s="73">
        <f t="shared" si="16"/>
        <v>0</v>
      </c>
      <c r="AU42" s="73">
        <f t="shared" si="16"/>
        <v>0</v>
      </c>
      <c r="AV42" s="73">
        <f t="shared" si="16"/>
        <v>0</v>
      </c>
      <c r="AW42" s="73">
        <f t="shared" si="16"/>
        <v>0</v>
      </c>
      <c r="AX42" s="73">
        <f t="shared" si="16"/>
        <v>0</v>
      </c>
      <c r="AY42" s="73">
        <f t="shared" si="16"/>
        <v>0</v>
      </c>
      <c r="AZ42" s="73">
        <f t="shared" si="16"/>
        <v>0</v>
      </c>
      <c r="BA42" s="73">
        <f t="shared" si="16"/>
        <v>0</v>
      </c>
      <c r="BB42" s="73">
        <f t="shared" si="16"/>
        <v>0</v>
      </c>
      <c r="BC42" s="73">
        <f t="shared" si="16"/>
        <v>0</v>
      </c>
      <c r="BD42" s="73">
        <f t="shared" si="16"/>
        <v>0</v>
      </c>
      <c r="BE42" s="73">
        <f t="shared" si="16"/>
        <v>0</v>
      </c>
      <c r="BF42" s="73">
        <f t="shared" si="16"/>
        <v>0</v>
      </c>
      <c r="BG42" s="73">
        <f t="shared" si="16"/>
        <v>0</v>
      </c>
      <c r="BH42" s="232"/>
      <c r="BI42" s="409" t="s">
        <v>180</v>
      </c>
      <c r="BJ42" s="409" t="s">
        <v>181</v>
      </c>
      <c r="BK42" s="410" t="s">
        <v>120</v>
      </c>
      <c r="BL42" s="409" t="s">
        <v>175</v>
      </c>
      <c r="BM42" s="437" t="s">
        <v>1026</v>
      </c>
    </row>
    <row r="43" spans="1:65" s="252" customFormat="1" x14ac:dyDescent="0.25">
      <c r="A43" s="407"/>
      <c r="B43" s="221" t="s">
        <v>182</v>
      </c>
      <c r="C43" s="409"/>
      <c r="D43" s="243"/>
      <c r="E43" s="20"/>
      <c r="F43" s="21"/>
      <c r="G43" s="28"/>
      <c r="H43" s="235"/>
      <c r="I43" s="235"/>
      <c r="J43" s="235"/>
      <c r="K43" s="235"/>
      <c r="L43" s="235"/>
      <c r="M43" s="235"/>
      <c r="N43" s="235"/>
      <c r="O43" s="235"/>
      <c r="P43" s="235"/>
      <c r="Q43" s="235"/>
      <c r="R43" s="235"/>
      <c r="S43" s="235"/>
      <c r="T43" s="235"/>
      <c r="U43" s="33"/>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2"/>
      <c r="BI43" s="409"/>
      <c r="BJ43" s="409"/>
      <c r="BK43" s="410"/>
      <c r="BL43" s="409"/>
      <c r="BM43" s="437"/>
    </row>
    <row r="44" spans="1:65" s="252" customFormat="1" ht="20.25" customHeight="1" x14ac:dyDescent="0.25">
      <c r="A44" s="407"/>
      <c r="B44" s="456" t="s">
        <v>183</v>
      </c>
      <c r="C44" s="409"/>
      <c r="D44" s="243" t="s">
        <v>48</v>
      </c>
      <c r="E44" s="20">
        <f>F44+G44</f>
        <v>4.0900000000000007</v>
      </c>
      <c r="F44" s="21"/>
      <c r="G44" s="28">
        <f>SUM(H44:M44,Q44,U44,Y44:BG44)</f>
        <v>4.0900000000000007</v>
      </c>
      <c r="H44" s="235"/>
      <c r="I44" s="235"/>
      <c r="J44" s="235"/>
      <c r="K44" s="235">
        <v>1.05</v>
      </c>
      <c r="L44" s="235">
        <f>1.75-0.56</f>
        <v>1.19</v>
      </c>
      <c r="M44" s="235"/>
      <c r="N44" s="235"/>
      <c r="O44" s="235"/>
      <c r="P44" s="235"/>
      <c r="Q44" s="235"/>
      <c r="R44" s="235"/>
      <c r="S44" s="235"/>
      <c r="T44" s="235"/>
      <c r="U44" s="33">
        <f>SUM(V44:X44)</f>
        <v>1.2</v>
      </c>
      <c r="V44" s="33">
        <v>1.2</v>
      </c>
      <c r="W44" s="235"/>
      <c r="X44" s="235"/>
      <c r="Y44" s="235"/>
      <c r="Z44" s="235"/>
      <c r="AA44" s="235"/>
      <c r="AB44" s="235"/>
      <c r="AC44" s="235"/>
      <c r="AD44" s="235"/>
      <c r="AE44" s="235"/>
      <c r="AF44" s="235">
        <v>0.65</v>
      </c>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2"/>
      <c r="BI44" s="409"/>
      <c r="BJ44" s="409"/>
      <c r="BK44" s="410"/>
      <c r="BL44" s="409"/>
      <c r="BM44" s="437"/>
    </row>
    <row r="45" spans="1:65" s="252" customFormat="1" ht="20.25" customHeight="1" x14ac:dyDescent="0.25">
      <c r="A45" s="407"/>
      <c r="B45" s="456"/>
      <c r="C45" s="409"/>
      <c r="D45" s="243" t="s">
        <v>49</v>
      </c>
      <c r="E45" s="20">
        <f>F45+G45</f>
        <v>3.35</v>
      </c>
      <c r="F45" s="21"/>
      <c r="G45" s="28">
        <f>SUM(H45:M45,Q45,U45,Y45:BG45)</f>
        <v>3.35</v>
      </c>
      <c r="H45" s="235"/>
      <c r="I45" s="235"/>
      <c r="J45" s="235"/>
      <c r="K45" s="235">
        <v>0.55000000000000004</v>
      </c>
      <c r="L45" s="235">
        <v>0.85</v>
      </c>
      <c r="M45" s="235"/>
      <c r="N45" s="235"/>
      <c r="O45" s="235"/>
      <c r="P45" s="235"/>
      <c r="Q45" s="235"/>
      <c r="R45" s="235"/>
      <c r="S45" s="235"/>
      <c r="T45" s="235"/>
      <c r="U45" s="33">
        <f>SUM(V45:X45)</f>
        <v>1.6</v>
      </c>
      <c r="V45" s="33">
        <v>1.6</v>
      </c>
      <c r="W45" s="235"/>
      <c r="X45" s="235"/>
      <c r="Y45" s="235"/>
      <c r="Z45" s="235"/>
      <c r="AA45" s="235"/>
      <c r="AB45" s="235"/>
      <c r="AC45" s="235"/>
      <c r="AD45" s="235"/>
      <c r="AE45" s="235"/>
      <c r="AF45" s="235">
        <v>0.35</v>
      </c>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2"/>
      <c r="BI45" s="409"/>
      <c r="BJ45" s="409"/>
      <c r="BK45" s="410"/>
      <c r="BL45" s="409"/>
      <c r="BM45" s="437"/>
    </row>
    <row r="46" spans="1:65" s="252" customFormat="1" ht="20.25" customHeight="1" x14ac:dyDescent="0.25">
      <c r="A46" s="407"/>
      <c r="B46" s="221" t="s">
        <v>184</v>
      </c>
      <c r="C46" s="409"/>
      <c r="D46" s="243" t="s">
        <v>34</v>
      </c>
      <c r="E46" s="20">
        <f>F46+G46</f>
        <v>9.6999999999999993</v>
      </c>
      <c r="F46" s="21"/>
      <c r="G46" s="74">
        <f>SUM(H46:BG46)-M46-Q46-U46</f>
        <v>9.6999999999999993</v>
      </c>
      <c r="H46" s="235">
        <v>1.1000000000000001</v>
      </c>
      <c r="I46" s="235">
        <v>0.5</v>
      </c>
      <c r="J46" s="235"/>
      <c r="K46" s="235">
        <v>1.5</v>
      </c>
      <c r="L46" s="235">
        <f>3.4-0.3</f>
        <v>3.1</v>
      </c>
      <c r="M46" s="235"/>
      <c r="N46" s="235"/>
      <c r="O46" s="235"/>
      <c r="P46" s="235"/>
      <c r="Q46" s="235"/>
      <c r="R46" s="235"/>
      <c r="S46" s="235"/>
      <c r="T46" s="235"/>
      <c r="U46" s="33">
        <f>SUM(V46:X46)</f>
        <v>3.5</v>
      </c>
      <c r="V46" s="33">
        <v>3.5</v>
      </c>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2"/>
      <c r="BI46" s="409"/>
      <c r="BJ46" s="409"/>
      <c r="BK46" s="410"/>
      <c r="BL46" s="409"/>
      <c r="BM46" s="437"/>
    </row>
    <row r="47" spans="1:65" s="252" customFormat="1" ht="20.25" customHeight="1" x14ac:dyDescent="0.25">
      <c r="A47" s="407"/>
      <c r="B47" s="221" t="s">
        <v>185</v>
      </c>
      <c r="C47" s="409"/>
      <c r="D47" s="243" t="s">
        <v>31</v>
      </c>
      <c r="E47" s="20">
        <f>F47+G47</f>
        <v>5</v>
      </c>
      <c r="F47" s="21"/>
      <c r="G47" s="28">
        <f>SUM(H47:M47,Q47,U47,Y47:BG47)</f>
        <v>5</v>
      </c>
      <c r="H47" s="235"/>
      <c r="I47" s="235"/>
      <c r="J47" s="235"/>
      <c r="K47" s="235">
        <v>0.75</v>
      </c>
      <c r="L47" s="235">
        <v>1.35</v>
      </c>
      <c r="M47" s="235"/>
      <c r="N47" s="235"/>
      <c r="O47" s="235"/>
      <c r="P47" s="235"/>
      <c r="Q47" s="235"/>
      <c r="R47" s="235"/>
      <c r="S47" s="235"/>
      <c r="T47" s="235"/>
      <c r="U47" s="33">
        <f>SUM(V47:X47)</f>
        <v>1.9</v>
      </c>
      <c r="V47" s="33">
        <v>1.9</v>
      </c>
      <c r="W47" s="235"/>
      <c r="X47" s="235"/>
      <c r="Y47" s="235"/>
      <c r="Z47" s="235"/>
      <c r="AA47" s="235"/>
      <c r="AB47" s="235"/>
      <c r="AC47" s="235"/>
      <c r="AD47" s="235"/>
      <c r="AE47" s="235"/>
      <c r="AF47" s="235">
        <v>1</v>
      </c>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2"/>
      <c r="BI47" s="409"/>
      <c r="BJ47" s="409"/>
      <c r="BK47" s="410"/>
      <c r="BL47" s="409"/>
      <c r="BM47" s="437"/>
    </row>
    <row r="48" spans="1:65" s="252" customFormat="1" ht="31.5" x14ac:dyDescent="0.25">
      <c r="A48" s="407">
        <f>A42+1</f>
        <v>33</v>
      </c>
      <c r="B48" s="221" t="s">
        <v>186</v>
      </c>
      <c r="C48" s="409" t="s">
        <v>166</v>
      </c>
      <c r="D48" s="243"/>
      <c r="E48" s="20">
        <f>F48+G48</f>
        <v>22.000000000000004</v>
      </c>
      <c r="F48" s="21"/>
      <c r="G48" s="30">
        <f>SUM(G50:G52)</f>
        <v>22.000000000000004</v>
      </c>
      <c r="H48" s="30">
        <f t="shared" ref="H48:BG48" si="17">SUM(H50:H52)</f>
        <v>1</v>
      </c>
      <c r="I48" s="30">
        <f t="shared" si="17"/>
        <v>0</v>
      </c>
      <c r="J48" s="30">
        <f t="shared" si="17"/>
        <v>0</v>
      </c>
      <c r="K48" s="30">
        <f t="shared" si="17"/>
        <v>1</v>
      </c>
      <c r="L48" s="30">
        <f t="shared" si="17"/>
        <v>0</v>
      </c>
      <c r="M48" s="30">
        <f t="shared" si="17"/>
        <v>3.35</v>
      </c>
      <c r="N48" s="30">
        <f t="shared" si="17"/>
        <v>3.35</v>
      </c>
      <c r="O48" s="30">
        <f t="shared" si="17"/>
        <v>0</v>
      </c>
      <c r="P48" s="30">
        <f t="shared" si="17"/>
        <v>0</v>
      </c>
      <c r="Q48" s="30">
        <f t="shared" si="17"/>
        <v>0</v>
      </c>
      <c r="R48" s="30">
        <f t="shared" si="17"/>
        <v>0</v>
      </c>
      <c r="S48" s="30">
        <f t="shared" si="17"/>
        <v>0</v>
      </c>
      <c r="T48" s="30">
        <f t="shared" si="17"/>
        <v>0</v>
      </c>
      <c r="U48" s="222">
        <f t="shared" si="17"/>
        <v>13.75</v>
      </c>
      <c r="V48" s="30">
        <f t="shared" si="17"/>
        <v>13.75</v>
      </c>
      <c r="W48" s="30">
        <f t="shared" si="17"/>
        <v>0</v>
      </c>
      <c r="X48" s="30">
        <f t="shared" si="17"/>
        <v>0</v>
      </c>
      <c r="Y48" s="30">
        <f t="shared" si="17"/>
        <v>0.4</v>
      </c>
      <c r="Z48" s="30">
        <f t="shared" si="17"/>
        <v>0</v>
      </c>
      <c r="AA48" s="30">
        <f t="shared" si="17"/>
        <v>0</v>
      </c>
      <c r="AB48" s="30">
        <f t="shared" si="17"/>
        <v>0</v>
      </c>
      <c r="AC48" s="30">
        <f t="shared" si="17"/>
        <v>0</v>
      </c>
      <c r="AD48" s="30">
        <f t="shared" si="17"/>
        <v>0</v>
      </c>
      <c r="AE48" s="30">
        <f t="shared" si="17"/>
        <v>0</v>
      </c>
      <c r="AF48" s="30">
        <f t="shared" si="17"/>
        <v>2.5</v>
      </c>
      <c r="AG48" s="30">
        <f t="shared" si="17"/>
        <v>0</v>
      </c>
      <c r="AH48" s="30">
        <f t="shared" si="17"/>
        <v>0</v>
      </c>
      <c r="AI48" s="30">
        <f t="shared" si="17"/>
        <v>0</v>
      </c>
      <c r="AJ48" s="30">
        <f t="shared" si="17"/>
        <v>0</v>
      </c>
      <c r="AK48" s="30">
        <f t="shared" si="17"/>
        <v>0</v>
      </c>
      <c r="AL48" s="30">
        <f t="shared" si="17"/>
        <v>0</v>
      </c>
      <c r="AM48" s="30">
        <f t="shared" si="17"/>
        <v>0</v>
      </c>
      <c r="AN48" s="30">
        <f t="shared" si="17"/>
        <v>0</v>
      </c>
      <c r="AO48" s="30">
        <f t="shared" si="17"/>
        <v>0</v>
      </c>
      <c r="AP48" s="30">
        <f t="shared" si="17"/>
        <v>0</v>
      </c>
      <c r="AQ48" s="30">
        <f t="shared" si="17"/>
        <v>0</v>
      </c>
      <c r="AR48" s="30">
        <f t="shared" si="17"/>
        <v>0</v>
      </c>
      <c r="AS48" s="30">
        <f t="shared" si="17"/>
        <v>0</v>
      </c>
      <c r="AT48" s="30">
        <f t="shared" si="17"/>
        <v>0</v>
      </c>
      <c r="AU48" s="30">
        <f t="shared" si="17"/>
        <v>0</v>
      </c>
      <c r="AV48" s="30">
        <f t="shared" si="17"/>
        <v>0</v>
      </c>
      <c r="AW48" s="30">
        <f t="shared" si="17"/>
        <v>0</v>
      </c>
      <c r="AX48" s="30">
        <f t="shared" si="17"/>
        <v>0</v>
      </c>
      <c r="AY48" s="30">
        <f t="shared" si="17"/>
        <v>0</v>
      </c>
      <c r="AZ48" s="30">
        <f t="shared" si="17"/>
        <v>0</v>
      </c>
      <c r="BA48" s="30">
        <f t="shared" si="17"/>
        <v>0</v>
      </c>
      <c r="BB48" s="30">
        <f t="shared" si="17"/>
        <v>0</v>
      </c>
      <c r="BC48" s="30">
        <f t="shared" si="17"/>
        <v>0</v>
      </c>
      <c r="BD48" s="30">
        <f t="shared" si="17"/>
        <v>0</v>
      </c>
      <c r="BE48" s="30">
        <f t="shared" si="17"/>
        <v>0</v>
      </c>
      <c r="BF48" s="30">
        <f t="shared" si="17"/>
        <v>0</v>
      </c>
      <c r="BG48" s="30">
        <f t="shared" si="17"/>
        <v>0</v>
      </c>
      <c r="BH48" s="232"/>
      <c r="BI48" s="409" t="s">
        <v>166</v>
      </c>
      <c r="BJ48" s="409" t="s">
        <v>187</v>
      </c>
      <c r="BK48" s="410" t="s">
        <v>120</v>
      </c>
      <c r="BL48" s="409" t="s">
        <v>175</v>
      </c>
      <c r="BM48" s="437" t="s">
        <v>1026</v>
      </c>
    </row>
    <row r="49" spans="1:240" s="252" customFormat="1" x14ac:dyDescent="0.25">
      <c r="A49" s="407"/>
      <c r="B49" s="221" t="s">
        <v>182</v>
      </c>
      <c r="C49" s="409"/>
      <c r="D49" s="243"/>
      <c r="E49" s="20"/>
      <c r="F49" s="21"/>
      <c r="G49" s="28"/>
      <c r="H49" s="235"/>
      <c r="I49" s="235"/>
      <c r="J49" s="235"/>
      <c r="K49" s="235"/>
      <c r="L49" s="235"/>
      <c r="M49" s="235"/>
      <c r="N49" s="235"/>
      <c r="O49" s="235"/>
      <c r="P49" s="235"/>
      <c r="Q49" s="235"/>
      <c r="R49" s="235"/>
      <c r="S49" s="235"/>
      <c r="T49" s="235"/>
      <c r="U49" s="33"/>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2"/>
      <c r="BI49" s="409"/>
      <c r="BJ49" s="409"/>
      <c r="BK49" s="410"/>
      <c r="BL49" s="409"/>
      <c r="BM49" s="437"/>
    </row>
    <row r="50" spans="1:240" s="252" customFormat="1" x14ac:dyDescent="0.25">
      <c r="A50" s="407"/>
      <c r="B50" s="221" t="s">
        <v>183</v>
      </c>
      <c r="C50" s="409"/>
      <c r="D50" s="243" t="s">
        <v>48</v>
      </c>
      <c r="E50" s="20">
        <f>F50+G50</f>
        <v>7</v>
      </c>
      <c r="F50" s="21"/>
      <c r="G50" s="28">
        <f>SUM(H50:M50,Q50,U50,Y50:BG50)</f>
        <v>7</v>
      </c>
      <c r="H50" s="222"/>
      <c r="I50" s="222"/>
      <c r="J50" s="222"/>
      <c r="K50" s="222">
        <v>0.5</v>
      </c>
      <c r="L50" s="222"/>
      <c r="M50" s="222">
        <v>1</v>
      </c>
      <c r="N50" s="222">
        <v>1</v>
      </c>
      <c r="O50" s="222"/>
      <c r="P50" s="222"/>
      <c r="Q50" s="222"/>
      <c r="R50" s="222"/>
      <c r="S50" s="222"/>
      <c r="T50" s="222"/>
      <c r="U50" s="222">
        <f>SUM(V50:X50)</f>
        <v>3.8</v>
      </c>
      <c r="V50" s="222">
        <v>3.8</v>
      </c>
      <c r="W50" s="222"/>
      <c r="X50" s="222"/>
      <c r="Y50" s="222">
        <v>0.2</v>
      </c>
      <c r="Z50" s="222"/>
      <c r="AA50" s="222"/>
      <c r="AB50" s="222"/>
      <c r="AC50" s="222"/>
      <c r="AD50" s="222"/>
      <c r="AE50" s="222"/>
      <c r="AF50" s="222">
        <v>1.5</v>
      </c>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32"/>
      <c r="BI50" s="409"/>
      <c r="BJ50" s="409"/>
      <c r="BK50" s="410"/>
      <c r="BL50" s="409"/>
      <c r="BM50" s="437"/>
    </row>
    <row r="51" spans="1:240" s="252" customFormat="1" x14ac:dyDescent="0.25">
      <c r="A51" s="407"/>
      <c r="B51" s="221" t="s">
        <v>184</v>
      </c>
      <c r="C51" s="409"/>
      <c r="D51" s="243" t="s">
        <v>34</v>
      </c>
      <c r="E51" s="20">
        <f>F51+G51</f>
        <v>10.000000000000004</v>
      </c>
      <c r="F51" s="21"/>
      <c r="G51" s="74">
        <f>SUM(H51:BG51)-M51-Q51-U51</f>
        <v>10.000000000000004</v>
      </c>
      <c r="H51" s="222">
        <v>1</v>
      </c>
      <c r="I51" s="222"/>
      <c r="J51" s="222"/>
      <c r="K51" s="222">
        <v>0.2</v>
      </c>
      <c r="L51" s="222"/>
      <c r="M51" s="222">
        <v>1.7</v>
      </c>
      <c r="N51" s="222">
        <v>1.7</v>
      </c>
      <c r="O51" s="222"/>
      <c r="P51" s="222"/>
      <c r="Q51" s="222"/>
      <c r="R51" s="222"/>
      <c r="S51" s="222"/>
      <c r="T51" s="222"/>
      <c r="U51" s="33">
        <f>SUM(V51:X51)</f>
        <v>7</v>
      </c>
      <c r="V51" s="222">
        <v>7</v>
      </c>
      <c r="W51" s="222"/>
      <c r="X51" s="222"/>
      <c r="Y51" s="222">
        <v>0.1</v>
      </c>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32"/>
      <c r="BI51" s="409"/>
      <c r="BJ51" s="409"/>
      <c r="BK51" s="410"/>
      <c r="BL51" s="409"/>
      <c r="BM51" s="437"/>
    </row>
    <row r="52" spans="1:240" s="252" customFormat="1" x14ac:dyDescent="0.25">
      <c r="A52" s="407"/>
      <c r="B52" s="221" t="s">
        <v>185</v>
      </c>
      <c r="C52" s="409"/>
      <c r="D52" s="243" t="s">
        <v>31</v>
      </c>
      <c r="E52" s="20">
        <f>F52+G52</f>
        <v>5</v>
      </c>
      <c r="F52" s="21"/>
      <c r="G52" s="28">
        <f>SUM(H52:M52,Q52,U52,Y52:BG52)</f>
        <v>5</v>
      </c>
      <c r="H52" s="222"/>
      <c r="I52" s="222"/>
      <c r="J52" s="222"/>
      <c r="K52" s="222">
        <v>0.3</v>
      </c>
      <c r="L52" s="222"/>
      <c r="M52" s="222">
        <v>0.65</v>
      </c>
      <c r="N52" s="222">
        <v>0.65</v>
      </c>
      <c r="O52" s="222"/>
      <c r="P52" s="222"/>
      <c r="Q52" s="222"/>
      <c r="R52" s="222"/>
      <c r="S52" s="222"/>
      <c r="T52" s="222"/>
      <c r="U52" s="222">
        <f>SUM(V52:X52)</f>
        <v>2.95</v>
      </c>
      <c r="V52" s="222">
        <v>2.95</v>
      </c>
      <c r="W52" s="222"/>
      <c r="X52" s="222"/>
      <c r="Y52" s="222">
        <v>0.1</v>
      </c>
      <c r="Z52" s="222"/>
      <c r="AA52" s="222"/>
      <c r="AB52" s="222"/>
      <c r="AC52" s="222"/>
      <c r="AD52" s="222"/>
      <c r="AE52" s="222"/>
      <c r="AF52" s="222">
        <v>1</v>
      </c>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32"/>
      <c r="BI52" s="409"/>
      <c r="BJ52" s="409"/>
      <c r="BK52" s="410"/>
      <c r="BL52" s="409"/>
      <c r="BM52" s="437"/>
    </row>
    <row r="53" spans="1:240" s="252" customFormat="1" ht="63" x14ac:dyDescent="0.25">
      <c r="A53" s="407">
        <f>A48+1</f>
        <v>34</v>
      </c>
      <c r="B53" s="221" t="s">
        <v>188</v>
      </c>
      <c r="C53" s="409" t="s">
        <v>189</v>
      </c>
      <c r="D53" s="243"/>
      <c r="E53" s="20">
        <f>F53+G53</f>
        <v>22</v>
      </c>
      <c r="F53" s="73">
        <f>SUM(F55:F57)</f>
        <v>0</v>
      </c>
      <c r="G53" s="73">
        <f>SUM(G55:G57)</f>
        <v>22</v>
      </c>
      <c r="H53" s="73">
        <f t="shared" ref="H53:BG53" si="18">SUM(H55:H57)</f>
        <v>1.2</v>
      </c>
      <c r="I53" s="73">
        <f t="shared" si="18"/>
        <v>0</v>
      </c>
      <c r="J53" s="73">
        <f t="shared" si="18"/>
        <v>0</v>
      </c>
      <c r="K53" s="73">
        <f t="shared" si="18"/>
        <v>1.5</v>
      </c>
      <c r="L53" s="73">
        <f t="shared" si="18"/>
        <v>0</v>
      </c>
      <c r="M53" s="73">
        <f t="shared" si="18"/>
        <v>3.5500000000000003</v>
      </c>
      <c r="N53" s="73">
        <f t="shared" si="18"/>
        <v>3.5500000000000003</v>
      </c>
      <c r="O53" s="73">
        <f t="shared" si="18"/>
        <v>0</v>
      </c>
      <c r="P53" s="73">
        <f t="shared" si="18"/>
        <v>0</v>
      </c>
      <c r="Q53" s="73">
        <f t="shared" si="18"/>
        <v>0</v>
      </c>
      <c r="R53" s="73">
        <f t="shared" si="18"/>
        <v>0</v>
      </c>
      <c r="S53" s="73">
        <f t="shared" si="18"/>
        <v>0</v>
      </c>
      <c r="T53" s="73">
        <f t="shared" si="18"/>
        <v>0</v>
      </c>
      <c r="U53" s="238">
        <f t="shared" si="18"/>
        <v>13.75</v>
      </c>
      <c r="V53" s="73">
        <f t="shared" si="18"/>
        <v>13.75</v>
      </c>
      <c r="W53" s="73">
        <f t="shared" si="18"/>
        <v>0</v>
      </c>
      <c r="X53" s="73">
        <f t="shared" si="18"/>
        <v>0</v>
      </c>
      <c r="Y53" s="73">
        <f t="shared" si="18"/>
        <v>0</v>
      </c>
      <c r="Z53" s="73">
        <f t="shared" si="18"/>
        <v>0</v>
      </c>
      <c r="AA53" s="73">
        <f t="shared" si="18"/>
        <v>0</v>
      </c>
      <c r="AB53" s="73">
        <f t="shared" si="18"/>
        <v>0</v>
      </c>
      <c r="AC53" s="73">
        <f t="shared" si="18"/>
        <v>0</v>
      </c>
      <c r="AD53" s="73">
        <f t="shared" si="18"/>
        <v>0</v>
      </c>
      <c r="AE53" s="73">
        <f t="shared" si="18"/>
        <v>0</v>
      </c>
      <c r="AF53" s="73">
        <f t="shared" si="18"/>
        <v>2</v>
      </c>
      <c r="AG53" s="73">
        <f t="shared" si="18"/>
        <v>0</v>
      </c>
      <c r="AH53" s="73">
        <f t="shared" si="18"/>
        <v>0</v>
      </c>
      <c r="AI53" s="73">
        <f t="shared" si="18"/>
        <v>0</v>
      </c>
      <c r="AJ53" s="73">
        <f t="shared" si="18"/>
        <v>0</v>
      </c>
      <c r="AK53" s="73">
        <f t="shared" si="18"/>
        <v>0</v>
      </c>
      <c r="AL53" s="73">
        <f t="shared" si="18"/>
        <v>0</v>
      </c>
      <c r="AM53" s="73">
        <f t="shared" si="18"/>
        <v>0</v>
      </c>
      <c r="AN53" s="73">
        <f t="shared" si="18"/>
        <v>0</v>
      </c>
      <c r="AO53" s="73">
        <f t="shared" si="18"/>
        <v>0</v>
      </c>
      <c r="AP53" s="73">
        <f t="shared" si="18"/>
        <v>0</v>
      </c>
      <c r="AQ53" s="73">
        <f t="shared" si="18"/>
        <v>0</v>
      </c>
      <c r="AR53" s="73">
        <f t="shared" si="18"/>
        <v>0</v>
      </c>
      <c r="AS53" s="73">
        <f t="shared" si="18"/>
        <v>0</v>
      </c>
      <c r="AT53" s="73">
        <f t="shared" si="18"/>
        <v>0</v>
      </c>
      <c r="AU53" s="73">
        <f t="shared" si="18"/>
        <v>0</v>
      </c>
      <c r="AV53" s="73">
        <f t="shared" si="18"/>
        <v>0</v>
      </c>
      <c r="AW53" s="73">
        <f t="shared" si="18"/>
        <v>0</v>
      </c>
      <c r="AX53" s="73">
        <f t="shared" si="18"/>
        <v>0</v>
      </c>
      <c r="AY53" s="73">
        <f t="shared" si="18"/>
        <v>0</v>
      </c>
      <c r="AZ53" s="73">
        <f t="shared" si="18"/>
        <v>0</v>
      </c>
      <c r="BA53" s="73">
        <f t="shared" si="18"/>
        <v>0</v>
      </c>
      <c r="BB53" s="73">
        <f t="shared" si="18"/>
        <v>0</v>
      </c>
      <c r="BC53" s="73">
        <f t="shared" si="18"/>
        <v>0</v>
      </c>
      <c r="BD53" s="73">
        <f t="shared" si="18"/>
        <v>0</v>
      </c>
      <c r="BE53" s="73">
        <f t="shared" si="18"/>
        <v>0</v>
      </c>
      <c r="BF53" s="73">
        <f t="shared" si="18"/>
        <v>0</v>
      </c>
      <c r="BG53" s="73">
        <f t="shared" si="18"/>
        <v>0</v>
      </c>
      <c r="BH53" s="232"/>
      <c r="BI53" s="409" t="s">
        <v>189</v>
      </c>
      <c r="BJ53" s="409" t="s">
        <v>190</v>
      </c>
      <c r="BK53" s="410" t="s">
        <v>120</v>
      </c>
      <c r="BL53" s="409" t="s">
        <v>175</v>
      </c>
      <c r="BM53" s="437" t="s">
        <v>1026</v>
      </c>
    </row>
    <row r="54" spans="1:240" s="252" customFormat="1" x14ac:dyDescent="0.25">
      <c r="A54" s="407"/>
      <c r="B54" s="221" t="s">
        <v>182</v>
      </c>
      <c r="C54" s="409"/>
      <c r="D54" s="243"/>
      <c r="E54" s="20"/>
      <c r="F54" s="21"/>
      <c r="G54" s="28"/>
      <c r="H54" s="235"/>
      <c r="I54" s="235"/>
      <c r="J54" s="235"/>
      <c r="K54" s="235"/>
      <c r="L54" s="235"/>
      <c r="M54" s="235"/>
      <c r="N54" s="235"/>
      <c r="O54" s="235"/>
      <c r="P54" s="235"/>
      <c r="Q54" s="235"/>
      <c r="R54" s="235"/>
      <c r="S54" s="235"/>
      <c r="T54" s="235"/>
      <c r="U54" s="33"/>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2"/>
      <c r="BI54" s="409"/>
      <c r="BJ54" s="409"/>
      <c r="BK54" s="410"/>
      <c r="BL54" s="409"/>
      <c r="BM54" s="437"/>
    </row>
    <row r="55" spans="1:240" s="252" customFormat="1" ht="24" customHeight="1" x14ac:dyDescent="0.25">
      <c r="A55" s="407"/>
      <c r="B55" s="221" t="s">
        <v>183</v>
      </c>
      <c r="C55" s="409"/>
      <c r="D55" s="243" t="s">
        <v>48</v>
      </c>
      <c r="E55" s="20">
        <f t="shared" ref="E55:E59" si="19">F55+G55</f>
        <v>7</v>
      </c>
      <c r="F55" s="21"/>
      <c r="G55" s="28">
        <f>SUM(H55:M55,Q55,U55,Y55:BG55)</f>
        <v>7</v>
      </c>
      <c r="H55" s="235"/>
      <c r="I55" s="235"/>
      <c r="J55" s="235"/>
      <c r="K55" s="235">
        <v>0.6</v>
      </c>
      <c r="L55" s="235"/>
      <c r="M55" s="235">
        <v>1.6</v>
      </c>
      <c r="N55" s="235">
        <v>1.6</v>
      </c>
      <c r="O55" s="235"/>
      <c r="P55" s="235"/>
      <c r="Q55" s="235"/>
      <c r="R55" s="235"/>
      <c r="S55" s="235"/>
      <c r="T55" s="235"/>
      <c r="U55" s="33">
        <f>SUM(V55:X55)</f>
        <v>3.8</v>
      </c>
      <c r="V55" s="33">
        <v>3.8</v>
      </c>
      <c r="W55" s="235"/>
      <c r="X55" s="235"/>
      <c r="Y55" s="235"/>
      <c r="Z55" s="235"/>
      <c r="AA55" s="235"/>
      <c r="AB55" s="235"/>
      <c r="AC55" s="235"/>
      <c r="AD55" s="235"/>
      <c r="AE55" s="235"/>
      <c r="AF55" s="235">
        <v>1</v>
      </c>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2"/>
      <c r="BI55" s="409"/>
      <c r="BJ55" s="409"/>
      <c r="BK55" s="410"/>
      <c r="BL55" s="409"/>
      <c r="BM55" s="437"/>
    </row>
    <row r="56" spans="1:240" s="252" customFormat="1" ht="24" customHeight="1" x14ac:dyDescent="0.25">
      <c r="A56" s="407"/>
      <c r="B56" s="221" t="s">
        <v>184</v>
      </c>
      <c r="C56" s="409"/>
      <c r="D56" s="243" t="s">
        <v>34</v>
      </c>
      <c r="E56" s="20">
        <f t="shared" si="19"/>
        <v>10</v>
      </c>
      <c r="F56" s="21"/>
      <c r="G56" s="74">
        <f>SUM(H56:BG56)-M56-Q56-U56</f>
        <v>10</v>
      </c>
      <c r="H56" s="235">
        <v>1.2</v>
      </c>
      <c r="I56" s="235"/>
      <c r="J56" s="235"/>
      <c r="K56" s="235">
        <v>0.5</v>
      </c>
      <c r="L56" s="235"/>
      <c r="M56" s="235">
        <v>1.3</v>
      </c>
      <c r="N56" s="235">
        <v>1.3</v>
      </c>
      <c r="O56" s="235"/>
      <c r="P56" s="235"/>
      <c r="Q56" s="235"/>
      <c r="R56" s="235"/>
      <c r="S56" s="235"/>
      <c r="T56" s="235"/>
      <c r="U56" s="33">
        <f>SUM(V56:X56)</f>
        <v>7</v>
      </c>
      <c r="V56" s="33">
        <v>7</v>
      </c>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2"/>
      <c r="BI56" s="409"/>
      <c r="BJ56" s="409"/>
      <c r="BK56" s="410"/>
      <c r="BL56" s="409"/>
      <c r="BM56" s="437"/>
    </row>
    <row r="57" spans="1:240" s="252" customFormat="1" ht="24" customHeight="1" x14ac:dyDescent="0.25">
      <c r="A57" s="407"/>
      <c r="B57" s="221" t="s">
        <v>185</v>
      </c>
      <c r="C57" s="409"/>
      <c r="D57" s="243" t="s">
        <v>31</v>
      </c>
      <c r="E57" s="20">
        <f t="shared" si="19"/>
        <v>5</v>
      </c>
      <c r="F57" s="21"/>
      <c r="G57" s="28">
        <f>SUM(H57:M57,Q57,U57,Y57:BG57)</f>
        <v>5</v>
      </c>
      <c r="H57" s="235"/>
      <c r="I57" s="235"/>
      <c r="J57" s="235"/>
      <c r="K57" s="235">
        <v>0.4</v>
      </c>
      <c r="L57" s="235"/>
      <c r="M57" s="235">
        <v>0.65</v>
      </c>
      <c r="N57" s="235">
        <v>0.65</v>
      </c>
      <c r="O57" s="235"/>
      <c r="P57" s="235"/>
      <c r="Q57" s="235"/>
      <c r="R57" s="235"/>
      <c r="S57" s="235"/>
      <c r="T57" s="235"/>
      <c r="U57" s="33">
        <f>SUM(V57:X57)</f>
        <v>2.95</v>
      </c>
      <c r="V57" s="33">
        <v>2.95</v>
      </c>
      <c r="W57" s="235"/>
      <c r="X57" s="235"/>
      <c r="Y57" s="235"/>
      <c r="Z57" s="235"/>
      <c r="AA57" s="235"/>
      <c r="AB57" s="235"/>
      <c r="AC57" s="235"/>
      <c r="AD57" s="235"/>
      <c r="AE57" s="235"/>
      <c r="AF57" s="235">
        <v>1</v>
      </c>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2"/>
      <c r="BI57" s="409"/>
      <c r="BJ57" s="409"/>
      <c r="BK57" s="410"/>
      <c r="BL57" s="409"/>
      <c r="BM57" s="437"/>
    </row>
    <row r="58" spans="1:240" s="252" customFormat="1" ht="31.5" x14ac:dyDescent="0.25">
      <c r="A58" s="215">
        <f>A53+1</f>
        <v>35</v>
      </c>
      <c r="B58" s="183" t="s">
        <v>199</v>
      </c>
      <c r="C58" s="232" t="s">
        <v>82</v>
      </c>
      <c r="D58" s="243" t="s">
        <v>31</v>
      </c>
      <c r="E58" s="20">
        <f t="shared" si="19"/>
        <v>7.72</v>
      </c>
      <c r="F58" s="20"/>
      <c r="G58" s="28">
        <f>SUM(H58:M58,Q58,U58,Y58:BG58)</f>
        <v>7.72</v>
      </c>
      <c r="H58" s="49"/>
      <c r="I58" s="49">
        <f>1.38-0.23</f>
        <v>1.1499999999999999</v>
      </c>
      <c r="J58" s="51"/>
      <c r="K58" s="60">
        <v>3.02</v>
      </c>
      <c r="L58" s="75">
        <v>1.21</v>
      </c>
      <c r="M58" s="235"/>
      <c r="N58" s="33"/>
      <c r="O58" s="33"/>
      <c r="P58" s="33"/>
      <c r="Q58" s="33"/>
      <c r="R58" s="33"/>
      <c r="S58" s="33"/>
      <c r="T58" s="33"/>
      <c r="U58" s="33">
        <f>SUM(V58:X58)</f>
        <v>1.8399999999999999</v>
      </c>
      <c r="V58" s="235">
        <f>1.26+0.23</f>
        <v>1.49</v>
      </c>
      <c r="W58" s="49"/>
      <c r="X58" s="235">
        <v>0.35</v>
      </c>
      <c r="Y58" s="235"/>
      <c r="Z58" s="235"/>
      <c r="AA58" s="235"/>
      <c r="AB58" s="235"/>
      <c r="AC58" s="235"/>
      <c r="AD58" s="75"/>
      <c r="AE58" s="235"/>
      <c r="AF58" s="75">
        <v>0.08</v>
      </c>
      <c r="AG58" s="75">
        <v>0.18</v>
      </c>
      <c r="AH58" s="235"/>
      <c r="AI58" s="235"/>
      <c r="AJ58" s="235"/>
      <c r="AK58" s="235"/>
      <c r="AL58" s="235"/>
      <c r="AM58" s="235"/>
      <c r="AN58" s="235"/>
      <c r="AO58" s="235"/>
      <c r="AP58" s="235"/>
      <c r="AQ58" s="235"/>
      <c r="AR58" s="235"/>
      <c r="AS58" s="235"/>
      <c r="AT58" s="75">
        <v>0.24</v>
      </c>
      <c r="AU58" s="235"/>
      <c r="AV58" s="235"/>
      <c r="AW58" s="235"/>
      <c r="AX58" s="235"/>
      <c r="AY58" s="235"/>
      <c r="AZ58" s="235"/>
      <c r="BA58" s="235"/>
      <c r="BB58" s="235"/>
      <c r="BC58" s="75"/>
      <c r="BD58" s="235"/>
      <c r="BE58" s="235"/>
      <c r="BF58" s="235"/>
      <c r="BG58" s="75"/>
      <c r="BH58" s="232" t="s">
        <v>200</v>
      </c>
      <c r="BI58" s="232" t="s">
        <v>82</v>
      </c>
      <c r="BJ58" s="226" t="s">
        <v>201</v>
      </c>
      <c r="BK58" s="25" t="s">
        <v>120</v>
      </c>
      <c r="BL58" s="232" t="s">
        <v>202</v>
      </c>
      <c r="BM58" s="226" t="s">
        <v>1026</v>
      </c>
    </row>
    <row r="59" spans="1:240" s="252" customFormat="1" ht="78.75" x14ac:dyDescent="0.25">
      <c r="A59" s="215">
        <f t="shared" ref="A59:A63" si="20">A58+1</f>
        <v>36</v>
      </c>
      <c r="B59" s="237" t="s">
        <v>203</v>
      </c>
      <c r="C59" s="223" t="s">
        <v>65</v>
      </c>
      <c r="D59" s="243" t="s">
        <v>31</v>
      </c>
      <c r="E59" s="20">
        <f t="shared" si="19"/>
        <v>0.02</v>
      </c>
      <c r="F59" s="20"/>
      <c r="G59" s="28">
        <f>SUM(H59:M59,Q59,U59,Y59:BG59)</f>
        <v>0.02</v>
      </c>
      <c r="H59" s="235"/>
      <c r="I59" s="235"/>
      <c r="J59" s="235"/>
      <c r="K59" s="235"/>
      <c r="L59" s="235"/>
      <c r="M59" s="235"/>
      <c r="N59" s="235"/>
      <c r="O59" s="235"/>
      <c r="P59" s="235"/>
      <c r="Q59" s="235"/>
      <c r="R59" s="235"/>
      <c r="S59" s="235"/>
      <c r="T59" s="235"/>
      <c r="U59" s="33"/>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v>0.02</v>
      </c>
      <c r="AW59" s="235"/>
      <c r="AX59" s="235"/>
      <c r="AY59" s="235"/>
      <c r="AZ59" s="235"/>
      <c r="BA59" s="235"/>
      <c r="BB59" s="235"/>
      <c r="BC59" s="235"/>
      <c r="BD59" s="235"/>
      <c r="BE59" s="235"/>
      <c r="BF59" s="235"/>
      <c r="BG59" s="235"/>
      <c r="BH59" s="235" t="s">
        <v>197</v>
      </c>
      <c r="BI59" s="223" t="s">
        <v>65</v>
      </c>
      <c r="BJ59" s="243" t="s">
        <v>204</v>
      </c>
      <c r="BK59" s="25" t="s">
        <v>68</v>
      </c>
      <c r="BL59" s="232" t="s">
        <v>205</v>
      </c>
      <c r="BM59" s="226" t="s">
        <v>206</v>
      </c>
    </row>
    <row r="60" spans="1:240" s="253" customFormat="1" ht="47.25" x14ac:dyDescent="0.25">
      <c r="A60" s="215">
        <f t="shared" si="20"/>
        <v>37</v>
      </c>
      <c r="B60" s="237" t="s">
        <v>207</v>
      </c>
      <c r="C60" s="232" t="s">
        <v>122</v>
      </c>
      <c r="D60" s="243" t="s">
        <v>31</v>
      </c>
      <c r="E60" s="20">
        <v>0.19</v>
      </c>
      <c r="F60" s="28"/>
      <c r="G60" s="28">
        <v>0.19</v>
      </c>
      <c r="H60" s="48">
        <v>0.1</v>
      </c>
      <c r="I60" s="51">
        <v>7.0000000000000007E-2</v>
      </c>
      <c r="J60" s="51"/>
      <c r="K60" s="51">
        <v>0.02</v>
      </c>
      <c r="L60" s="51"/>
      <c r="M60" s="235"/>
      <c r="N60" s="33"/>
      <c r="O60" s="33"/>
      <c r="P60" s="33"/>
      <c r="Q60" s="33"/>
      <c r="R60" s="33"/>
      <c r="S60" s="33"/>
      <c r="T60" s="33"/>
      <c r="U60" s="33"/>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63" t="s">
        <v>123</v>
      </c>
      <c r="BI60" s="232" t="s">
        <v>122</v>
      </c>
      <c r="BJ60" s="226" t="s">
        <v>208</v>
      </c>
      <c r="BK60" s="25" t="s">
        <v>74</v>
      </c>
      <c r="BL60" s="232" t="s">
        <v>202</v>
      </c>
      <c r="BM60" s="226" t="s">
        <v>1026</v>
      </c>
    </row>
    <row r="61" spans="1:240" s="252" customFormat="1" ht="31.5" x14ac:dyDescent="0.25">
      <c r="A61" s="215">
        <f t="shared" si="20"/>
        <v>38</v>
      </c>
      <c r="B61" s="76" t="s">
        <v>209</v>
      </c>
      <c r="C61" s="36" t="s">
        <v>95</v>
      </c>
      <c r="D61" s="243" t="s">
        <v>31</v>
      </c>
      <c r="E61" s="20">
        <f t="shared" ref="E61:E95" si="21">F61+G61</f>
        <v>0.11</v>
      </c>
      <c r="F61" s="21"/>
      <c r="G61" s="28">
        <f t="shared" ref="G61:G66" si="22">SUM(H61:M61,Q61,U61,Y61:BG61)</f>
        <v>0.11</v>
      </c>
      <c r="H61" s="60"/>
      <c r="I61" s="62"/>
      <c r="J61" s="62"/>
      <c r="K61" s="235">
        <v>0.11</v>
      </c>
      <c r="L61" s="60"/>
      <c r="M61" s="235"/>
      <c r="N61" s="77"/>
      <c r="O61" s="77"/>
      <c r="P61" s="77"/>
      <c r="Q61" s="235"/>
      <c r="R61" s="235"/>
      <c r="S61" s="235"/>
      <c r="T61" s="235"/>
      <c r="U61" s="33"/>
      <c r="V61" s="60"/>
      <c r="W61" s="60"/>
      <c r="X61" s="60"/>
      <c r="Y61" s="235"/>
      <c r="Z61" s="235"/>
      <c r="AA61" s="235"/>
      <c r="AB61" s="235"/>
      <c r="AC61" s="235"/>
      <c r="AD61" s="235"/>
      <c r="AE61" s="235"/>
      <c r="AF61" s="235"/>
      <c r="AG61" s="235"/>
      <c r="AH61" s="235"/>
      <c r="AI61" s="235"/>
      <c r="AJ61" s="235"/>
      <c r="AK61" s="62"/>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2" t="s">
        <v>96</v>
      </c>
      <c r="BI61" s="36" t="s">
        <v>95</v>
      </c>
      <c r="BJ61" s="226" t="s">
        <v>210</v>
      </c>
      <c r="BK61" s="25" t="s">
        <v>74</v>
      </c>
      <c r="BL61" s="232" t="s">
        <v>202</v>
      </c>
      <c r="BM61" s="226" t="s">
        <v>1026</v>
      </c>
    </row>
    <row r="62" spans="1:240" s="253" customFormat="1" ht="31.5" x14ac:dyDescent="0.25">
      <c r="A62" s="215">
        <f t="shared" si="20"/>
        <v>39</v>
      </c>
      <c r="B62" s="221" t="s">
        <v>211</v>
      </c>
      <c r="C62" s="218" t="s">
        <v>150</v>
      </c>
      <c r="D62" s="218" t="s">
        <v>31</v>
      </c>
      <c r="E62" s="20">
        <f t="shared" si="21"/>
        <v>2</v>
      </c>
      <c r="F62" s="21"/>
      <c r="G62" s="28">
        <f t="shared" si="22"/>
        <v>2</v>
      </c>
      <c r="H62" s="235"/>
      <c r="I62" s="235"/>
      <c r="J62" s="235"/>
      <c r="K62" s="235"/>
      <c r="L62" s="235"/>
      <c r="M62" s="235"/>
      <c r="N62" s="235"/>
      <c r="O62" s="235"/>
      <c r="P62" s="235"/>
      <c r="Q62" s="235"/>
      <c r="R62" s="235"/>
      <c r="S62" s="235"/>
      <c r="T62" s="235"/>
      <c r="U62" s="33">
        <f>SUM(V62:X62)</f>
        <v>2</v>
      </c>
      <c r="V62" s="235">
        <v>2</v>
      </c>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t="s">
        <v>212</v>
      </c>
      <c r="BI62" s="218" t="s">
        <v>150</v>
      </c>
      <c r="BJ62" s="236" t="s">
        <v>213</v>
      </c>
      <c r="BK62" s="25" t="s">
        <v>398</v>
      </c>
      <c r="BL62" s="232" t="s">
        <v>202</v>
      </c>
      <c r="BM62" s="226" t="s">
        <v>1026</v>
      </c>
      <c r="BN62" s="252"/>
      <c r="BO62" s="252"/>
      <c r="BP62" s="252"/>
      <c r="BQ62" s="252"/>
      <c r="BR62" s="252"/>
      <c r="BS62" s="252"/>
      <c r="BT62" s="252"/>
      <c r="BU62" s="252"/>
      <c r="BV62" s="252"/>
      <c r="BW62" s="252"/>
      <c r="BX62" s="252"/>
      <c r="BY62" s="252"/>
      <c r="BZ62" s="252"/>
      <c r="CA62" s="252"/>
      <c r="CB62" s="252"/>
      <c r="CC62" s="252"/>
      <c r="CD62" s="252"/>
      <c r="CE62" s="252"/>
      <c r="CF62" s="252"/>
      <c r="CG62" s="252"/>
      <c r="CH62" s="252"/>
      <c r="CI62" s="252"/>
      <c r="CJ62" s="252"/>
      <c r="CK62" s="252"/>
      <c r="CL62" s="252"/>
      <c r="CM62" s="252"/>
      <c r="CN62" s="252"/>
      <c r="CO62" s="252"/>
      <c r="CP62" s="252"/>
      <c r="CQ62" s="252"/>
      <c r="CR62" s="252"/>
      <c r="CS62" s="252"/>
      <c r="CT62" s="252"/>
      <c r="CU62" s="252"/>
      <c r="CV62" s="252"/>
      <c r="CW62" s="252"/>
      <c r="CX62" s="252"/>
      <c r="CY62" s="252"/>
      <c r="CZ62" s="252"/>
      <c r="DA62" s="252"/>
      <c r="DB62" s="252"/>
      <c r="DC62" s="252"/>
      <c r="DD62" s="252"/>
      <c r="DE62" s="252"/>
      <c r="DF62" s="252"/>
      <c r="DG62" s="252"/>
      <c r="DH62" s="252"/>
      <c r="DI62" s="252"/>
      <c r="DJ62" s="252"/>
      <c r="DK62" s="252"/>
      <c r="DL62" s="252"/>
      <c r="DM62" s="252"/>
      <c r="DN62" s="252"/>
      <c r="DO62" s="252"/>
      <c r="DP62" s="252"/>
      <c r="DQ62" s="252"/>
      <c r="DR62" s="252"/>
      <c r="DS62" s="252"/>
      <c r="DT62" s="252"/>
      <c r="DU62" s="252"/>
      <c r="DV62" s="252"/>
      <c r="DW62" s="252"/>
      <c r="DX62" s="252"/>
      <c r="DY62" s="252"/>
      <c r="DZ62" s="252"/>
      <c r="EA62" s="252"/>
      <c r="EB62" s="252"/>
      <c r="EC62" s="252"/>
      <c r="ED62" s="252"/>
      <c r="EE62" s="252"/>
      <c r="EF62" s="252"/>
      <c r="EG62" s="252"/>
      <c r="EH62" s="252"/>
      <c r="EI62" s="252"/>
      <c r="EJ62" s="252"/>
      <c r="EK62" s="252"/>
      <c r="EL62" s="252"/>
      <c r="EM62" s="252"/>
      <c r="EN62" s="252"/>
      <c r="EO62" s="252"/>
      <c r="EP62" s="252"/>
      <c r="EQ62" s="252"/>
      <c r="ER62" s="252"/>
      <c r="ES62" s="252"/>
      <c r="ET62" s="252"/>
      <c r="EU62" s="252"/>
      <c r="EV62" s="252"/>
      <c r="EW62" s="252"/>
      <c r="EX62" s="252"/>
      <c r="EY62" s="252"/>
      <c r="EZ62" s="252"/>
      <c r="FA62" s="252"/>
      <c r="FB62" s="252"/>
      <c r="FC62" s="252"/>
      <c r="FD62" s="252"/>
      <c r="FE62" s="252"/>
      <c r="FF62" s="252"/>
      <c r="FG62" s="252"/>
      <c r="FH62" s="252"/>
      <c r="FI62" s="252"/>
      <c r="FJ62" s="252"/>
      <c r="FK62" s="252"/>
      <c r="FL62" s="252"/>
      <c r="FM62" s="252"/>
      <c r="FN62" s="252"/>
      <c r="FO62" s="252"/>
      <c r="FP62" s="252"/>
      <c r="FQ62" s="252"/>
      <c r="FR62" s="252"/>
      <c r="FS62" s="252"/>
      <c r="FT62" s="252"/>
      <c r="FU62" s="252"/>
      <c r="FV62" s="252"/>
      <c r="FW62" s="252"/>
      <c r="FX62" s="252"/>
      <c r="FY62" s="252"/>
      <c r="FZ62" s="252"/>
      <c r="GA62" s="252"/>
      <c r="GB62" s="252"/>
      <c r="GC62" s="252"/>
      <c r="GD62" s="252"/>
      <c r="GE62" s="252"/>
      <c r="GF62" s="252"/>
      <c r="GG62" s="252"/>
      <c r="GH62" s="252"/>
      <c r="GI62" s="252"/>
      <c r="GJ62" s="252"/>
      <c r="GK62" s="252"/>
      <c r="GL62" s="252"/>
      <c r="GM62" s="252"/>
      <c r="GN62" s="252"/>
      <c r="GO62" s="252"/>
      <c r="GP62" s="252"/>
      <c r="GQ62" s="252"/>
      <c r="GR62" s="252"/>
      <c r="GS62" s="252"/>
      <c r="GT62" s="252"/>
      <c r="GU62" s="252"/>
      <c r="GV62" s="252"/>
      <c r="GW62" s="252"/>
      <c r="GX62" s="252"/>
      <c r="GY62" s="252"/>
      <c r="GZ62" s="252"/>
      <c r="HA62" s="252"/>
      <c r="HB62" s="252"/>
      <c r="HC62" s="252"/>
      <c r="HD62" s="252"/>
      <c r="HE62" s="252"/>
      <c r="HF62" s="252"/>
      <c r="HG62" s="252"/>
      <c r="HH62" s="252"/>
      <c r="HI62" s="252"/>
      <c r="HJ62" s="252"/>
      <c r="HK62" s="252"/>
      <c r="HL62" s="252"/>
      <c r="HM62" s="252"/>
      <c r="HN62" s="252"/>
      <c r="HO62" s="252"/>
      <c r="HP62" s="252"/>
      <c r="HQ62" s="252"/>
      <c r="HR62" s="252"/>
      <c r="HS62" s="252"/>
      <c r="HT62" s="252"/>
      <c r="HU62" s="252"/>
      <c r="HV62" s="252"/>
      <c r="HW62" s="252"/>
      <c r="HX62" s="252"/>
      <c r="HY62" s="252"/>
      <c r="HZ62" s="252"/>
      <c r="IA62" s="252"/>
      <c r="IB62" s="252"/>
      <c r="IC62" s="252"/>
      <c r="ID62" s="252"/>
      <c r="IE62" s="252"/>
      <c r="IF62" s="252"/>
    </row>
    <row r="63" spans="1:240" s="253" customFormat="1" ht="31.5" x14ac:dyDescent="0.25">
      <c r="A63" s="462">
        <f t="shared" si="20"/>
        <v>40</v>
      </c>
      <c r="B63" s="465" t="s">
        <v>214</v>
      </c>
      <c r="C63" s="218" t="s">
        <v>142</v>
      </c>
      <c r="D63" s="218" t="s">
        <v>31</v>
      </c>
      <c r="E63" s="20">
        <f t="shared" si="21"/>
        <v>1</v>
      </c>
      <c r="F63" s="21"/>
      <c r="G63" s="28">
        <f t="shared" si="22"/>
        <v>1</v>
      </c>
      <c r="H63" s="235">
        <v>0.93</v>
      </c>
      <c r="I63" s="235"/>
      <c r="J63" s="235"/>
      <c r="K63" s="235"/>
      <c r="L63" s="235">
        <v>0.01</v>
      </c>
      <c r="M63" s="235"/>
      <c r="N63" s="235"/>
      <c r="O63" s="235"/>
      <c r="P63" s="235"/>
      <c r="Q63" s="235"/>
      <c r="R63" s="235"/>
      <c r="S63" s="235"/>
      <c r="T63" s="235"/>
      <c r="U63" s="33"/>
      <c r="V63" s="235"/>
      <c r="W63" s="235"/>
      <c r="X63" s="235"/>
      <c r="Y63" s="235"/>
      <c r="Z63" s="235"/>
      <c r="AA63" s="235"/>
      <c r="AB63" s="235"/>
      <c r="AC63" s="235"/>
      <c r="AD63" s="235"/>
      <c r="AE63" s="235"/>
      <c r="AF63" s="235">
        <v>0.06</v>
      </c>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t="s">
        <v>215</v>
      </c>
      <c r="BI63" s="218" t="s">
        <v>142</v>
      </c>
      <c r="BJ63" s="236" t="s">
        <v>216</v>
      </c>
      <c r="BK63" s="25" t="s">
        <v>120</v>
      </c>
      <c r="BL63" s="232" t="s">
        <v>202</v>
      </c>
      <c r="BM63" s="226" t="s">
        <v>206</v>
      </c>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2"/>
      <c r="CJ63" s="252"/>
      <c r="CK63" s="252"/>
      <c r="CL63" s="252"/>
      <c r="CM63" s="252"/>
      <c r="CN63" s="252"/>
      <c r="CO63" s="252"/>
      <c r="CP63" s="252"/>
      <c r="CQ63" s="252"/>
      <c r="CR63" s="252"/>
      <c r="CS63" s="252"/>
      <c r="CT63" s="252"/>
      <c r="CU63" s="252"/>
      <c r="CV63" s="252"/>
      <c r="CW63" s="252"/>
      <c r="CX63" s="252"/>
      <c r="CY63" s="252"/>
      <c r="CZ63" s="252"/>
      <c r="DA63" s="252"/>
      <c r="DB63" s="252"/>
      <c r="DC63" s="252"/>
      <c r="DD63" s="252"/>
      <c r="DE63" s="252"/>
      <c r="DF63" s="252"/>
      <c r="DG63" s="252"/>
      <c r="DH63" s="252"/>
      <c r="DI63" s="252"/>
      <c r="DJ63" s="252"/>
      <c r="DK63" s="252"/>
      <c r="DL63" s="252"/>
      <c r="DM63" s="252"/>
      <c r="DN63" s="252"/>
      <c r="DO63" s="252"/>
      <c r="DP63" s="252"/>
      <c r="DQ63" s="252"/>
      <c r="DR63" s="252"/>
      <c r="DS63" s="252"/>
      <c r="DT63" s="252"/>
      <c r="DU63" s="252"/>
      <c r="DV63" s="252"/>
      <c r="DW63" s="252"/>
      <c r="DX63" s="252"/>
      <c r="DY63" s="252"/>
      <c r="DZ63" s="252"/>
      <c r="EA63" s="252"/>
      <c r="EB63" s="252"/>
      <c r="EC63" s="252"/>
      <c r="ED63" s="252"/>
      <c r="EE63" s="252"/>
      <c r="EF63" s="252"/>
      <c r="EG63" s="252"/>
      <c r="EH63" s="252"/>
      <c r="EI63" s="252"/>
      <c r="EJ63" s="252"/>
      <c r="EK63" s="252"/>
      <c r="EL63" s="252"/>
      <c r="EM63" s="252"/>
      <c r="EN63" s="252"/>
      <c r="EO63" s="252"/>
      <c r="EP63" s="252"/>
      <c r="EQ63" s="252"/>
      <c r="ER63" s="252"/>
      <c r="ES63" s="252"/>
      <c r="ET63" s="252"/>
      <c r="EU63" s="252"/>
      <c r="EV63" s="252"/>
      <c r="EW63" s="252"/>
      <c r="EX63" s="252"/>
      <c r="EY63" s="252"/>
      <c r="EZ63" s="252"/>
      <c r="FA63" s="252"/>
      <c r="FB63" s="252"/>
      <c r="FC63" s="252"/>
      <c r="FD63" s="252"/>
      <c r="FE63" s="252"/>
      <c r="FF63" s="252"/>
      <c r="FG63" s="252"/>
      <c r="FH63" s="252"/>
      <c r="FI63" s="252"/>
      <c r="FJ63" s="252"/>
      <c r="FK63" s="252"/>
      <c r="FL63" s="252"/>
      <c r="FM63" s="252"/>
      <c r="FN63" s="252"/>
      <c r="FO63" s="252"/>
      <c r="FP63" s="252"/>
      <c r="FQ63" s="252"/>
      <c r="FR63" s="252"/>
      <c r="FS63" s="252"/>
      <c r="FT63" s="252"/>
      <c r="FU63" s="252"/>
      <c r="FV63" s="252"/>
      <c r="FW63" s="252"/>
      <c r="FX63" s="252"/>
      <c r="FY63" s="252"/>
      <c r="FZ63" s="252"/>
      <c r="GA63" s="252"/>
      <c r="GB63" s="252"/>
      <c r="GC63" s="252"/>
      <c r="GD63" s="252"/>
      <c r="GE63" s="252"/>
      <c r="GF63" s="252"/>
      <c r="GG63" s="252"/>
      <c r="GH63" s="252"/>
      <c r="GI63" s="252"/>
      <c r="GJ63" s="252"/>
      <c r="GK63" s="252"/>
      <c r="GL63" s="252"/>
      <c r="GM63" s="252"/>
      <c r="GN63" s="252"/>
      <c r="GO63" s="252"/>
      <c r="GP63" s="252"/>
      <c r="GQ63" s="252"/>
      <c r="GR63" s="252"/>
      <c r="GS63" s="252"/>
      <c r="GT63" s="252"/>
      <c r="GU63" s="252"/>
      <c r="GV63" s="252"/>
      <c r="GW63" s="252"/>
      <c r="GX63" s="252"/>
      <c r="GY63" s="252"/>
      <c r="GZ63" s="252"/>
      <c r="HA63" s="252"/>
      <c r="HB63" s="252"/>
      <c r="HC63" s="252"/>
      <c r="HD63" s="252"/>
      <c r="HE63" s="252"/>
      <c r="HF63" s="252"/>
      <c r="HG63" s="252"/>
      <c r="HH63" s="252"/>
      <c r="HI63" s="252"/>
      <c r="HJ63" s="252"/>
      <c r="HK63" s="252"/>
      <c r="HL63" s="252"/>
      <c r="HM63" s="252"/>
      <c r="HN63" s="252"/>
      <c r="HO63" s="252"/>
      <c r="HP63" s="252"/>
      <c r="HQ63" s="252"/>
      <c r="HR63" s="252"/>
      <c r="HS63" s="252"/>
      <c r="HT63" s="252"/>
      <c r="HU63" s="252"/>
      <c r="HV63" s="252"/>
      <c r="HW63" s="252"/>
      <c r="HX63" s="252"/>
      <c r="HY63" s="252"/>
      <c r="HZ63" s="252"/>
      <c r="IA63" s="252"/>
      <c r="IB63" s="252"/>
      <c r="IC63" s="252"/>
      <c r="ID63" s="252"/>
      <c r="IE63" s="252"/>
      <c r="IF63" s="252"/>
    </row>
    <row r="64" spans="1:240" s="252" customFormat="1" ht="47.25" x14ac:dyDescent="0.25">
      <c r="A64" s="463"/>
      <c r="B64" s="466"/>
      <c r="C64" s="232" t="s">
        <v>82</v>
      </c>
      <c r="D64" s="243" t="s">
        <v>31</v>
      </c>
      <c r="E64" s="20">
        <f>F64+G64</f>
        <v>3.5</v>
      </c>
      <c r="F64" s="20"/>
      <c r="G64" s="28">
        <f t="shared" si="22"/>
        <v>3.5</v>
      </c>
      <c r="H64" s="49">
        <v>0.2</v>
      </c>
      <c r="I64" s="49">
        <v>0.02</v>
      </c>
      <c r="J64" s="49"/>
      <c r="K64" s="49">
        <v>0.76</v>
      </c>
      <c r="L64" s="49"/>
      <c r="M64" s="49"/>
      <c r="N64" s="49"/>
      <c r="O64" s="49"/>
      <c r="P64" s="49"/>
      <c r="Q64" s="49"/>
      <c r="R64" s="49"/>
      <c r="S64" s="49"/>
      <c r="T64" s="49"/>
      <c r="U64" s="33">
        <f>SUM(V64:X64)</f>
        <v>2.35</v>
      </c>
      <c r="V64" s="235">
        <v>0.78</v>
      </c>
      <c r="W64" s="49">
        <v>1.57</v>
      </c>
      <c r="X64" s="49"/>
      <c r="Y64" s="49"/>
      <c r="Z64" s="49"/>
      <c r="AA64" s="49"/>
      <c r="AB64" s="49"/>
      <c r="AC64" s="49"/>
      <c r="AD64" s="49"/>
      <c r="AE64" s="49"/>
      <c r="AF64" s="49">
        <v>0.02</v>
      </c>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v>0.15</v>
      </c>
      <c r="BE64" s="49"/>
      <c r="BF64" s="49"/>
      <c r="BG64" s="49"/>
      <c r="BH64" s="232" t="s">
        <v>217</v>
      </c>
      <c r="BI64" s="232" t="s">
        <v>82</v>
      </c>
      <c r="BJ64" s="226" t="s">
        <v>218</v>
      </c>
      <c r="BK64" s="25" t="s">
        <v>120</v>
      </c>
      <c r="BL64" s="232" t="s">
        <v>202</v>
      </c>
      <c r="BM64" s="226" t="s">
        <v>206</v>
      </c>
    </row>
    <row r="65" spans="1:65" s="252" customFormat="1" ht="31.5" x14ac:dyDescent="0.25">
      <c r="A65" s="463"/>
      <c r="B65" s="466"/>
      <c r="C65" s="223" t="s">
        <v>65</v>
      </c>
      <c r="D65" s="243" t="s">
        <v>31</v>
      </c>
      <c r="E65" s="20">
        <f>F65+G65</f>
        <v>0.72</v>
      </c>
      <c r="F65" s="20"/>
      <c r="G65" s="28">
        <f t="shared" si="22"/>
        <v>0.72</v>
      </c>
      <c r="H65" s="235"/>
      <c r="I65" s="235"/>
      <c r="J65" s="235"/>
      <c r="K65" s="235">
        <v>0.72</v>
      </c>
      <c r="L65" s="235"/>
      <c r="M65" s="235"/>
      <c r="N65" s="235"/>
      <c r="O65" s="235"/>
      <c r="P65" s="235"/>
      <c r="Q65" s="235">
        <f>SUM(R65:T65)</f>
        <v>0</v>
      </c>
      <c r="R65" s="235"/>
      <c r="S65" s="235"/>
      <c r="T65" s="235"/>
      <c r="U65" s="33"/>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t="s">
        <v>197</v>
      </c>
      <c r="BI65" s="223" t="s">
        <v>65</v>
      </c>
      <c r="BJ65" s="223" t="s">
        <v>1051</v>
      </c>
      <c r="BK65" s="25" t="s">
        <v>120</v>
      </c>
      <c r="BL65" s="232" t="s">
        <v>198</v>
      </c>
      <c r="BM65" s="226" t="s">
        <v>1026</v>
      </c>
    </row>
    <row r="66" spans="1:65" s="254" customFormat="1" ht="78.75" x14ac:dyDescent="0.25">
      <c r="A66" s="464"/>
      <c r="B66" s="467"/>
      <c r="C66" s="226" t="s">
        <v>71</v>
      </c>
      <c r="D66" s="243" t="s">
        <v>48</v>
      </c>
      <c r="E66" s="20">
        <f t="shared" ref="E66" si="23">F66+G66</f>
        <v>0.02</v>
      </c>
      <c r="F66" s="20"/>
      <c r="G66" s="28">
        <f t="shared" si="22"/>
        <v>0.02</v>
      </c>
      <c r="H66" s="78">
        <v>0</v>
      </c>
      <c r="I66" s="78">
        <v>0</v>
      </c>
      <c r="J66" s="78">
        <v>0</v>
      </c>
      <c r="K66" s="78">
        <v>0</v>
      </c>
      <c r="L66" s="78">
        <v>0</v>
      </c>
      <c r="M66" s="78">
        <v>0</v>
      </c>
      <c r="N66" s="78">
        <v>0</v>
      </c>
      <c r="O66" s="78">
        <v>0</v>
      </c>
      <c r="P66" s="78">
        <v>0</v>
      </c>
      <c r="Q66" s="78">
        <v>0</v>
      </c>
      <c r="R66" s="78">
        <v>0</v>
      </c>
      <c r="S66" s="78">
        <v>0</v>
      </c>
      <c r="T66" s="78">
        <v>0</v>
      </c>
      <c r="U66" s="240">
        <v>0</v>
      </c>
      <c r="V66" s="78">
        <v>0</v>
      </c>
      <c r="W66" s="78">
        <v>0</v>
      </c>
      <c r="X66" s="78">
        <v>0</v>
      </c>
      <c r="Y66" s="78">
        <v>0</v>
      </c>
      <c r="Z66" s="78">
        <v>0</v>
      </c>
      <c r="AA66" s="78">
        <v>0</v>
      </c>
      <c r="AB66" s="78">
        <v>0</v>
      </c>
      <c r="AC66" s="78">
        <v>0.02</v>
      </c>
      <c r="AD66" s="78">
        <v>0</v>
      </c>
      <c r="AE66" s="78">
        <v>0</v>
      </c>
      <c r="AF66" s="78"/>
      <c r="AG66" s="78">
        <v>0</v>
      </c>
      <c r="AH66" s="78">
        <v>0</v>
      </c>
      <c r="AI66" s="78">
        <v>0</v>
      </c>
      <c r="AJ66" s="78">
        <v>0</v>
      </c>
      <c r="AK66" s="78">
        <v>0</v>
      </c>
      <c r="AL66" s="78">
        <v>0</v>
      </c>
      <c r="AM66" s="78">
        <v>0</v>
      </c>
      <c r="AN66" s="78">
        <v>0</v>
      </c>
      <c r="AO66" s="78">
        <v>0</v>
      </c>
      <c r="AP66" s="78">
        <v>0</v>
      </c>
      <c r="AQ66" s="78">
        <v>0</v>
      </c>
      <c r="AR66" s="78">
        <v>0</v>
      </c>
      <c r="AS66" s="78">
        <v>0</v>
      </c>
      <c r="AT66" s="78">
        <v>0</v>
      </c>
      <c r="AU66" s="78">
        <v>0</v>
      </c>
      <c r="AV66" s="78">
        <v>0</v>
      </c>
      <c r="AW66" s="78">
        <v>0</v>
      </c>
      <c r="AX66" s="78">
        <v>0</v>
      </c>
      <c r="AY66" s="78">
        <v>0</v>
      </c>
      <c r="AZ66" s="78">
        <v>0</v>
      </c>
      <c r="BA66" s="78">
        <v>0</v>
      </c>
      <c r="BB66" s="78">
        <v>0</v>
      </c>
      <c r="BC66" s="78">
        <v>0</v>
      </c>
      <c r="BD66" s="78">
        <v>0</v>
      </c>
      <c r="BE66" s="78">
        <v>0</v>
      </c>
      <c r="BF66" s="78">
        <v>0</v>
      </c>
      <c r="BG66" s="78">
        <v>0</v>
      </c>
      <c r="BH66" s="235" t="s">
        <v>879</v>
      </c>
      <c r="BI66" s="226" t="s">
        <v>71</v>
      </c>
      <c r="BJ66" s="226" t="s">
        <v>1113</v>
      </c>
      <c r="BK66" s="233" t="s">
        <v>120</v>
      </c>
      <c r="BL66" s="246" t="s">
        <v>205</v>
      </c>
      <c r="BM66" s="226" t="s">
        <v>206</v>
      </c>
    </row>
    <row r="67" spans="1:65" s="252" customFormat="1" x14ac:dyDescent="0.25">
      <c r="A67" s="56" t="s">
        <v>219</v>
      </c>
      <c r="B67" s="43" t="s">
        <v>220</v>
      </c>
      <c r="C67" s="79"/>
      <c r="D67" s="44"/>
      <c r="E67" s="59">
        <f t="shared" si="21"/>
        <v>149.03640000000001</v>
      </c>
      <c r="F67" s="59">
        <f>F69+SUM(F74:F95)</f>
        <v>53.22</v>
      </c>
      <c r="G67" s="59">
        <f>G69+SUM(G74:G95)</f>
        <v>95.816400000000016</v>
      </c>
      <c r="H67" s="59">
        <f t="shared" ref="H67:AM67" si="24">H69+SUM(H74:H95)</f>
        <v>3.6556999999999999</v>
      </c>
      <c r="I67" s="59">
        <f t="shared" si="24"/>
        <v>2.5499999999999998</v>
      </c>
      <c r="J67" s="59">
        <f t="shared" si="24"/>
        <v>0</v>
      </c>
      <c r="K67" s="59">
        <f t="shared" si="24"/>
        <v>26.54069999999999</v>
      </c>
      <c r="L67" s="59">
        <f t="shared" si="24"/>
        <v>7.8699999999999992</v>
      </c>
      <c r="M67" s="59">
        <f t="shared" si="24"/>
        <v>1</v>
      </c>
      <c r="N67" s="59">
        <f t="shared" si="24"/>
        <v>0</v>
      </c>
      <c r="O67" s="59">
        <f t="shared" si="24"/>
        <v>1</v>
      </c>
      <c r="P67" s="59">
        <f t="shared" si="24"/>
        <v>0</v>
      </c>
      <c r="Q67" s="59">
        <f t="shared" si="24"/>
        <v>0</v>
      </c>
      <c r="R67" s="59">
        <f t="shared" si="24"/>
        <v>0</v>
      </c>
      <c r="S67" s="59">
        <f t="shared" si="24"/>
        <v>0</v>
      </c>
      <c r="T67" s="59">
        <f t="shared" si="24"/>
        <v>0</v>
      </c>
      <c r="U67" s="71">
        <f t="shared" si="24"/>
        <v>44.9</v>
      </c>
      <c r="V67" s="59">
        <f t="shared" si="24"/>
        <v>36.47</v>
      </c>
      <c r="W67" s="59">
        <f t="shared" si="24"/>
        <v>8.27</v>
      </c>
      <c r="X67" s="59">
        <f t="shared" si="24"/>
        <v>0.16</v>
      </c>
      <c r="Y67" s="59">
        <f t="shared" si="24"/>
        <v>0.1</v>
      </c>
      <c r="Z67" s="59">
        <f t="shared" si="24"/>
        <v>0</v>
      </c>
      <c r="AA67" s="59">
        <f t="shared" si="24"/>
        <v>0</v>
      </c>
      <c r="AB67" s="59">
        <f t="shared" si="24"/>
        <v>0</v>
      </c>
      <c r="AC67" s="59">
        <f t="shared" si="24"/>
        <v>0.5</v>
      </c>
      <c r="AD67" s="59">
        <f t="shared" si="24"/>
        <v>0</v>
      </c>
      <c r="AE67" s="59">
        <f t="shared" si="24"/>
        <v>0</v>
      </c>
      <c r="AF67" s="59">
        <f t="shared" si="24"/>
        <v>1.6300000000000001</v>
      </c>
      <c r="AG67" s="59">
        <f t="shared" si="24"/>
        <v>0.12</v>
      </c>
      <c r="AH67" s="59">
        <f t="shared" si="24"/>
        <v>0</v>
      </c>
      <c r="AI67" s="59">
        <f t="shared" si="24"/>
        <v>0</v>
      </c>
      <c r="AJ67" s="59">
        <f t="shared" si="24"/>
        <v>0</v>
      </c>
      <c r="AK67" s="59">
        <f t="shared" si="24"/>
        <v>0</v>
      </c>
      <c r="AL67" s="59">
        <f t="shared" si="24"/>
        <v>0</v>
      </c>
      <c r="AM67" s="59">
        <f t="shared" si="24"/>
        <v>0</v>
      </c>
      <c r="AN67" s="59">
        <f t="shared" ref="AN67:BG67" si="25">AN69+SUM(AN74:AN95)</f>
        <v>0</v>
      </c>
      <c r="AO67" s="59">
        <f t="shared" si="25"/>
        <v>0</v>
      </c>
      <c r="AP67" s="59">
        <f t="shared" si="25"/>
        <v>0</v>
      </c>
      <c r="AQ67" s="59">
        <f t="shared" si="25"/>
        <v>0</v>
      </c>
      <c r="AR67" s="59">
        <f t="shared" si="25"/>
        <v>0</v>
      </c>
      <c r="AS67" s="59">
        <f t="shared" si="25"/>
        <v>0</v>
      </c>
      <c r="AT67" s="59">
        <f t="shared" si="25"/>
        <v>1.54</v>
      </c>
      <c r="AU67" s="59">
        <f t="shared" si="25"/>
        <v>0</v>
      </c>
      <c r="AV67" s="59">
        <f t="shared" si="25"/>
        <v>0.1</v>
      </c>
      <c r="AW67" s="59">
        <f t="shared" si="25"/>
        <v>0</v>
      </c>
      <c r="AX67" s="59">
        <f t="shared" si="25"/>
        <v>0.03</v>
      </c>
      <c r="AY67" s="59">
        <f t="shared" si="25"/>
        <v>0</v>
      </c>
      <c r="AZ67" s="59">
        <f t="shared" si="25"/>
        <v>0</v>
      </c>
      <c r="BA67" s="59">
        <f t="shared" si="25"/>
        <v>0</v>
      </c>
      <c r="BB67" s="59">
        <f t="shared" si="25"/>
        <v>0</v>
      </c>
      <c r="BC67" s="59">
        <f t="shared" si="25"/>
        <v>0</v>
      </c>
      <c r="BD67" s="59">
        <f t="shared" si="25"/>
        <v>0.44</v>
      </c>
      <c r="BE67" s="59">
        <f t="shared" si="25"/>
        <v>0</v>
      </c>
      <c r="BF67" s="59">
        <f t="shared" si="25"/>
        <v>0</v>
      </c>
      <c r="BG67" s="59">
        <f t="shared" si="25"/>
        <v>4.84</v>
      </c>
      <c r="BH67" s="71"/>
      <c r="BI67" s="79"/>
      <c r="BJ67" s="79"/>
      <c r="BK67" s="25"/>
      <c r="BL67" s="218"/>
      <c r="BM67" s="236"/>
    </row>
    <row r="68" spans="1:65" s="252" customFormat="1" ht="31.5" x14ac:dyDescent="0.25">
      <c r="A68" s="407">
        <f>A63+1</f>
        <v>41</v>
      </c>
      <c r="B68" s="237" t="s">
        <v>221</v>
      </c>
      <c r="C68" s="439" t="s">
        <v>82</v>
      </c>
      <c r="D68" s="243"/>
      <c r="E68" s="28">
        <f t="shared" si="21"/>
        <v>66.000000000000014</v>
      </c>
      <c r="F68" s="28"/>
      <c r="G68" s="28">
        <f>SUM(H68:M68,Q68,U68,Y68:BG68)</f>
        <v>66.000000000000014</v>
      </c>
      <c r="H68" s="222">
        <f t="shared" ref="H68:AM68" si="26">SUM(H69:H73)</f>
        <v>4.26</v>
      </c>
      <c r="I68" s="222">
        <f t="shared" si="26"/>
        <v>2.0700000000000003</v>
      </c>
      <c r="J68" s="222">
        <f t="shared" si="26"/>
        <v>0</v>
      </c>
      <c r="K68" s="222">
        <f t="shared" si="26"/>
        <v>13.34</v>
      </c>
      <c r="L68" s="222">
        <f t="shared" si="26"/>
        <v>6.51</v>
      </c>
      <c r="M68" s="222">
        <f t="shared" si="26"/>
        <v>0</v>
      </c>
      <c r="N68" s="222">
        <f t="shared" si="26"/>
        <v>0</v>
      </c>
      <c r="O68" s="222">
        <f t="shared" si="26"/>
        <v>0</v>
      </c>
      <c r="P68" s="222">
        <f t="shared" si="26"/>
        <v>0</v>
      </c>
      <c r="Q68" s="222">
        <f t="shared" si="26"/>
        <v>0</v>
      </c>
      <c r="R68" s="222">
        <f t="shared" si="26"/>
        <v>0</v>
      </c>
      <c r="S68" s="222">
        <f t="shared" si="26"/>
        <v>0</v>
      </c>
      <c r="T68" s="222">
        <f t="shared" si="26"/>
        <v>0</v>
      </c>
      <c r="U68" s="222">
        <f t="shared" si="26"/>
        <v>33.46</v>
      </c>
      <c r="V68" s="222">
        <f t="shared" si="26"/>
        <v>21.409999999999997</v>
      </c>
      <c r="W68" s="222">
        <f t="shared" si="26"/>
        <v>12.05</v>
      </c>
      <c r="X68" s="222">
        <f t="shared" si="26"/>
        <v>0</v>
      </c>
      <c r="Y68" s="222">
        <f t="shared" si="26"/>
        <v>0.02</v>
      </c>
      <c r="Z68" s="222">
        <f t="shared" si="26"/>
        <v>0</v>
      </c>
      <c r="AA68" s="222">
        <f t="shared" si="26"/>
        <v>0</v>
      </c>
      <c r="AB68" s="222">
        <f t="shared" si="26"/>
        <v>0</v>
      </c>
      <c r="AC68" s="222">
        <f t="shared" si="26"/>
        <v>0</v>
      </c>
      <c r="AD68" s="222">
        <f t="shared" si="26"/>
        <v>0</v>
      </c>
      <c r="AE68" s="222">
        <f t="shared" si="26"/>
        <v>0</v>
      </c>
      <c r="AF68" s="222">
        <f t="shared" si="26"/>
        <v>1.35</v>
      </c>
      <c r="AG68" s="222">
        <f t="shared" si="26"/>
        <v>0</v>
      </c>
      <c r="AH68" s="222">
        <f t="shared" si="26"/>
        <v>0</v>
      </c>
      <c r="AI68" s="222">
        <f t="shared" si="26"/>
        <v>0</v>
      </c>
      <c r="AJ68" s="222">
        <f t="shared" si="26"/>
        <v>0</v>
      </c>
      <c r="AK68" s="222">
        <f t="shared" si="26"/>
        <v>0</v>
      </c>
      <c r="AL68" s="222">
        <f t="shared" si="26"/>
        <v>0</v>
      </c>
      <c r="AM68" s="222">
        <f t="shared" si="26"/>
        <v>0</v>
      </c>
      <c r="AN68" s="222">
        <f t="shared" ref="AN68:BG68" si="27">SUM(AN69:AN73)</f>
        <v>0</v>
      </c>
      <c r="AO68" s="222">
        <f t="shared" si="27"/>
        <v>0</v>
      </c>
      <c r="AP68" s="222">
        <f t="shared" si="27"/>
        <v>0</v>
      </c>
      <c r="AQ68" s="222">
        <f t="shared" si="27"/>
        <v>0</v>
      </c>
      <c r="AR68" s="222">
        <f t="shared" si="27"/>
        <v>0</v>
      </c>
      <c r="AS68" s="222">
        <f t="shared" si="27"/>
        <v>0</v>
      </c>
      <c r="AT68" s="222">
        <f t="shared" si="27"/>
        <v>1.38</v>
      </c>
      <c r="AU68" s="222">
        <f t="shared" si="27"/>
        <v>0</v>
      </c>
      <c r="AV68" s="222">
        <f t="shared" si="27"/>
        <v>0.02</v>
      </c>
      <c r="AW68" s="222">
        <f t="shared" si="27"/>
        <v>0</v>
      </c>
      <c r="AX68" s="222">
        <f t="shared" si="27"/>
        <v>0.03</v>
      </c>
      <c r="AY68" s="222">
        <f t="shared" si="27"/>
        <v>0</v>
      </c>
      <c r="AZ68" s="222">
        <f t="shared" si="27"/>
        <v>0</v>
      </c>
      <c r="BA68" s="222">
        <f t="shared" si="27"/>
        <v>0</v>
      </c>
      <c r="BB68" s="222">
        <f t="shared" si="27"/>
        <v>0</v>
      </c>
      <c r="BC68" s="222">
        <f t="shared" si="27"/>
        <v>0</v>
      </c>
      <c r="BD68" s="222">
        <f t="shared" si="27"/>
        <v>0.64</v>
      </c>
      <c r="BE68" s="222">
        <f t="shared" si="27"/>
        <v>0</v>
      </c>
      <c r="BF68" s="222">
        <f t="shared" si="27"/>
        <v>0</v>
      </c>
      <c r="BG68" s="222">
        <f t="shared" si="27"/>
        <v>2.92</v>
      </c>
      <c r="BH68" s="438" t="s">
        <v>222</v>
      </c>
      <c r="BI68" s="439" t="s">
        <v>82</v>
      </c>
      <c r="BJ68" s="440" t="s">
        <v>223</v>
      </c>
      <c r="BK68" s="441" t="s">
        <v>120</v>
      </c>
      <c r="BL68" s="409" t="s">
        <v>224</v>
      </c>
      <c r="BM68" s="437" t="s">
        <v>1026</v>
      </c>
    </row>
    <row r="69" spans="1:65" s="255" customFormat="1" x14ac:dyDescent="0.25">
      <c r="A69" s="407"/>
      <c r="B69" s="80" t="s">
        <v>220</v>
      </c>
      <c r="C69" s="439"/>
      <c r="D69" s="81" t="s">
        <v>32</v>
      </c>
      <c r="E69" s="82">
        <f t="shared" si="21"/>
        <v>77.800000000000011</v>
      </c>
      <c r="F69" s="82">
        <v>38.9</v>
      </c>
      <c r="G69" s="28">
        <f>SUM(H69:M69,Q69,U69,Y69:BG69)</f>
        <v>38.900000000000006</v>
      </c>
      <c r="H69" s="83">
        <v>3.26</v>
      </c>
      <c r="I69" s="84">
        <v>1.07</v>
      </c>
      <c r="J69" s="84"/>
      <c r="K69" s="85">
        <f>8.34-0.43</f>
        <v>7.91</v>
      </c>
      <c r="L69" s="85">
        <v>3.61</v>
      </c>
      <c r="M69" s="86"/>
      <c r="N69" s="83"/>
      <c r="O69" s="83"/>
      <c r="P69" s="83"/>
      <c r="Q69" s="83"/>
      <c r="R69" s="83"/>
      <c r="S69" s="83"/>
      <c r="T69" s="83"/>
      <c r="U69" s="222">
        <f t="shared" ref="U69:U74" si="28">SUM(V69:X69)</f>
        <v>17.850000000000001</v>
      </c>
      <c r="V69" s="87">
        <v>13</v>
      </c>
      <c r="W69" s="88">
        <v>4.8499999999999996</v>
      </c>
      <c r="X69" s="88"/>
      <c r="Y69" s="88">
        <v>0.02</v>
      </c>
      <c r="Z69" s="88"/>
      <c r="AA69" s="88"/>
      <c r="AB69" s="88"/>
      <c r="AC69" s="88"/>
      <c r="AD69" s="88"/>
      <c r="AE69" s="88"/>
      <c r="AF69" s="85">
        <v>1.35</v>
      </c>
      <c r="AG69" s="88"/>
      <c r="AH69" s="88"/>
      <c r="AI69" s="88"/>
      <c r="AJ69" s="88"/>
      <c r="AK69" s="88"/>
      <c r="AL69" s="88"/>
      <c r="AM69" s="88"/>
      <c r="AN69" s="88"/>
      <c r="AO69" s="88"/>
      <c r="AP69" s="88"/>
      <c r="AQ69" s="88"/>
      <c r="AR69" s="88"/>
      <c r="AS69" s="88"/>
      <c r="AT69" s="88">
        <v>1</v>
      </c>
      <c r="AU69" s="88"/>
      <c r="AV69" s="88">
        <v>0.02</v>
      </c>
      <c r="AW69" s="88"/>
      <c r="AX69" s="88">
        <v>0.03</v>
      </c>
      <c r="AY69" s="88"/>
      <c r="AZ69" s="88"/>
      <c r="BA69" s="88"/>
      <c r="BB69" s="88"/>
      <c r="BC69" s="88"/>
      <c r="BD69" s="88">
        <v>0.44</v>
      </c>
      <c r="BE69" s="88"/>
      <c r="BF69" s="88"/>
      <c r="BG69" s="88">
        <f>1.91+0.43</f>
        <v>2.34</v>
      </c>
      <c r="BH69" s="438"/>
      <c r="BI69" s="439"/>
      <c r="BJ69" s="440"/>
      <c r="BK69" s="441"/>
      <c r="BL69" s="409"/>
      <c r="BM69" s="437"/>
    </row>
    <row r="70" spans="1:65" s="255" customFormat="1" ht="19.5" customHeight="1" x14ac:dyDescent="0.25">
      <c r="A70" s="407"/>
      <c r="B70" s="80" t="s">
        <v>225</v>
      </c>
      <c r="C70" s="439"/>
      <c r="D70" s="81" t="s">
        <v>34</v>
      </c>
      <c r="E70" s="82">
        <f t="shared" si="21"/>
        <v>38.799999999999997</v>
      </c>
      <c r="F70" s="82">
        <v>19.399999999999999</v>
      </c>
      <c r="G70" s="74">
        <f>SUM(H70:BG70)-M70-Q70-U70</f>
        <v>19.399999999999995</v>
      </c>
      <c r="H70" s="83">
        <v>1</v>
      </c>
      <c r="I70" s="84">
        <v>1</v>
      </c>
      <c r="J70" s="84"/>
      <c r="K70" s="85">
        <f>3+0.43+0.58</f>
        <v>4.01</v>
      </c>
      <c r="L70" s="85">
        <v>1</v>
      </c>
      <c r="M70" s="86"/>
      <c r="N70" s="83"/>
      <c r="O70" s="83"/>
      <c r="P70" s="83"/>
      <c r="Q70" s="83"/>
      <c r="R70" s="83"/>
      <c r="S70" s="83"/>
      <c r="T70" s="83"/>
      <c r="U70" s="33">
        <f t="shared" si="28"/>
        <v>11.809999999999999</v>
      </c>
      <c r="V70" s="87">
        <v>8.4099999999999984</v>
      </c>
      <c r="W70" s="88">
        <v>3.4</v>
      </c>
      <c r="X70" s="88"/>
      <c r="Y70" s="88"/>
      <c r="Z70" s="88"/>
      <c r="AA70" s="88"/>
      <c r="AB70" s="88"/>
      <c r="AC70" s="88"/>
      <c r="AD70" s="88"/>
      <c r="AE70" s="88"/>
      <c r="AF70" s="85"/>
      <c r="AG70" s="88"/>
      <c r="AH70" s="88"/>
      <c r="AI70" s="88"/>
      <c r="AJ70" s="88"/>
      <c r="AK70" s="88"/>
      <c r="AL70" s="88"/>
      <c r="AM70" s="88"/>
      <c r="AN70" s="88"/>
      <c r="AO70" s="88"/>
      <c r="AP70" s="88"/>
      <c r="AQ70" s="88"/>
      <c r="AR70" s="88"/>
      <c r="AS70" s="88"/>
      <c r="AT70" s="88">
        <v>0.38</v>
      </c>
      <c r="AU70" s="88"/>
      <c r="AV70" s="88"/>
      <c r="AW70" s="88"/>
      <c r="AX70" s="88"/>
      <c r="AY70" s="88"/>
      <c r="AZ70" s="88"/>
      <c r="BA70" s="88"/>
      <c r="BB70" s="88"/>
      <c r="BC70" s="88"/>
      <c r="BD70" s="88">
        <v>0.2</v>
      </c>
      <c r="BE70" s="88"/>
      <c r="BF70" s="88"/>
      <c r="BG70" s="89">
        <f>1.01-0.43-0.58</f>
        <v>0</v>
      </c>
      <c r="BH70" s="438"/>
      <c r="BI70" s="439"/>
      <c r="BJ70" s="440"/>
      <c r="BK70" s="441"/>
      <c r="BL70" s="409"/>
      <c r="BM70" s="437"/>
    </row>
    <row r="71" spans="1:65" s="255" customFormat="1" ht="19.5" customHeight="1" x14ac:dyDescent="0.25">
      <c r="A71" s="407"/>
      <c r="B71" s="80" t="s">
        <v>226</v>
      </c>
      <c r="C71" s="439"/>
      <c r="D71" s="81" t="s">
        <v>31</v>
      </c>
      <c r="E71" s="82">
        <f t="shared" si="21"/>
        <v>6.8</v>
      </c>
      <c r="F71" s="82">
        <v>3.4</v>
      </c>
      <c r="G71" s="28">
        <f t="shared" ref="G71:G95" si="29">SUM(H71:M71,Q71,U71,Y71:BG71)</f>
        <v>3.4</v>
      </c>
      <c r="H71" s="83"/>
      <c r="I71" s="84"/>
      <c r="J71" s="84"/>
      <c r="K71" s="85">
        <f>1-0.58</f>
        <v>0.42000000000000004</v>
      </c>
      <c r="L71" s="85">
        <v>1</v>
      </c>
      <c r="M71" s="86"/>
      <c r="N71" s="83"/>
      <c r="O71" s="83"/>
      <c r="P71" s="83"/>
      <c r="Q71" s="83"/>
      <c r="R71" s="83"/>
      <c r="S71" s="83"/>
      <c r="T71" s="83"/>
      <c r="U71" s="222">
        <f t="shared" si="28"/>
        <v>1.4</v>
      </c>
      <c r="V71" s="87"/>
      <c r="W71" s="88">
        <v>1.4</v>
      </c>
      <c r="X71" s="88"/>
      <c r="Y71" s="88"/>
      <c r="Z71" s="88"/>
      <c r="AA71" s="88"/>
      <c r="AB71" s="88"/>
      <c r="AC71" s="88"/>
      <c r="AD71" s="88"/>
      <c r="AE71" s="88"/>
      <c r="AF71" s="85"/>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v>0.57999999999999996</v>
      </c>
      <c r="BH71" s="438"/>
      <c r="BI71" s="439"/>
      <c r="BJ71" s="440"/>
      <c r="BK71" s="441"/>
      <c r="BL71" s="409"/>
      <c r="BM71" s="437"/>
    </row>
    <row r="72" spans="1:65" s="255" customFormat="1" ht="19.5" customHeight="1" x14ac:dyDescent="0.25">
      <c r="A72" s="407"/>
      <c r="B72" s="80" t="s">
        <v>227</v>
      </c>
      <c r="C72" s="439"/>
      <c r="D72" s="81" t="s">
        <v>228</v>
      </c>
      <c r="E72" s="82">
        <f t="shared" si="21"/>
        <v>4.8</v>
      </c>
      <c r="F72" s="82">
        <v>2.4</v>
      </c>
      <c r="G72" s="28">
        <f t="shared" si="29"/>
        <v>2.4</v>
      </c>
      <c r="H72" s="83"/>
      <c r="I72" s="84"/>
      <c r="J72" s="84"/>
      <c r="K72" s="85"/>
      <c r="L72" s="85"/>
      <c r="M72" s="86"/>
      <c r="N72" s="83"/>
      <c r="O72" s="83"/>
      <c r="P72" s="83"/>
      <c r="Q72" s="83"/>
      <c r="R72" s="83"/>
      <c r="S72" s="83"/>
      <c r="T72" s="83"/>
      <c r="U72" s="222">
        <f t="shared" si="28"/>
        <v>2.4</v>
      </c>
      <c r="V72" s="87"/>
      <c r="W72" s="88">
        <v>2.4</v>
      </c>
      <c r="X72" s="88"/>
      <c r="Y72" s="88"/>
      <c r="Z72" s="88"/>
      <c r="AA72" s="88"/>
      <c r="AB72" s="88"/>
      <c r="AC72" s="88"/>
      <c r="AD72" s="88"/>
      <c r="AE72" s="88"/>
      <c r="AF72" s="85"/>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438"/>
      <c r="BI72" s="439"/>
      <c r="BJ72" s="440"/>
      <c r="BK72" s="441"/>
      <c r="BL72" s="409"/>
      <c r="BM72" s="437"/>
    </row>
    <row r="73" spans="1:65" s="255" customFormat="1" ht="19.5" customHeight="1" x14ac:dyDescent="0.25">
      <c r="A73" s="407"/>
      <c r="B73" s="80" t="s">
        <v>229</v>
      </c>
      <c r="C73" s="439"/>
      <c r="D73" s="81"/>
      <c r="E73" s="82">
        <f t="shared" si="21"/>
        <v>3.8</v>
      </c>
      <c r="F73" s="82">
        <v>1.9</v>
      </c>
      <c r="G73" s="28">
        <f t="shared" si="29"/>
        <v>1.9</v>
      </c>
      <c r="H73" s="83"/>
      <c r="I73" s="84"/>
      <c r="J73" s="84"/>
      <c r="K73" s="85">
        <v>1</v>
      </c>
      <c r="L73" s="85">
        <v>0.9</v>
      </c>
      <c r="M73" s="86"/>
      <c r="N73" s="83"/>
      <c r="O73" s="83"/>
      <c r="P73" s="83"/>
      <c r="Q73" s="83"/>
      <c r="R73" s="83"/>
      <c r="S73" s="83"/>
      <c r="T73" s="83"/>
      <c r="U73" s="222">
        <f t="shared" si="28"/>
        <v>0</v>
      </c>
      <c r="V73" s="87"/>
      <c r="W73" s="88"/>
      <c r="X73" s="88"/>
      <c r="Y73" s="88"/>
      <c r="Z73" s="88"/>
      <c r="AA73" s="88"/>
      <c r="AB73" s="88"/>
      <c r="AC73" s="88"/>
      <c r="AD73" s="88"/>
      <c r="AE73" s="88"/>
      <c r="AF73" s="85"/>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438"/>
      <c r="BI73" s="439"/>
      <c r="BJ73" s="440"/>
      <c r="BK73" s="441"/>
      <c r="BL73" s="409"/>
      <c r="BM73" s="437"/>
    </row>
    <row r="74" spans="1:65" s="252" customFormat="1" ht="47.25" x14ac:dyDescent="0.25">
      <c r="A74" s="215">
        <f>A68+1</f>
        <v>42</v>
      </c>
      <c r="B74" s="237" t="s">
        <v>230</v>
      </c>
      <c r="C74" s="232" t="s">
        <v>82</v>
      </c>
      <c r="D74" s="218" t="s">
        <v>32</v>
      </c>
      <c r="E74" s="20">
        <f t="shared" si="21"/>
        <v>14.139999999999999</v>
      </c>
      <c r="F74" s="28"/>
      <c r="G74" s="28">
        <f t="shared" si="29"/>
        <v>14.139999999999999</v>
      </c>
      <c r="H74" s="49"/>
      <c r="I74" s="49"/>
      <c r="J74" s="62"/>
      <c r="K74" s="49">
        <v>11.84</v>
      </c>
      <c r="L74" s="49">
        <v>1.22</v>
      </c>
      <c r="M74" s="49"/>
      <c r="N74" s="62"/>
      <c r="O74" s="62"/>
      <c r="P74" s="62"/>
      <c r="Q74" s="62"/>
      <c r="R74" s="62"/>
      <c r="S74" s="62"/>
      <c r="T74" s="62"/>
      <c r="U74" s="222">
        <f t="shared" si="28"/>
        <v>0</v>
      </c>
      <c r="V74" s="49"/>
      <c r="W74" s="49"/>
      <c r="X74" s="49"/>
      <c r="Y74" s="49"/>
      <c r="Z74" s="62"/>
      <c r="AA74" s="62"/>
      <c r="AB74" s="62"/>
      <c r="AC74" s="49"/>
      <c r="AD74" s="49"/>
      <c r="AE74" s="49"/>
      <c r="AF74" s="49">
        <v>0.28000000000000003</v>
      </c>
      <c r="AG74" s="49">
        <v>0.12</v>
      </c>
      <c r="AH74" s="62"/>
      <c r="AI74" s="49"/>
      <c r="AJ74" s="49"/>
      <c r="AK74" s="49"/>
      <c r="AL74" s="49"/>
      <c r="AM74" s="49"/>
      <c r="AN74" s="49"/>
      <c r="AO74" s="62"/>
      <c r="AP74" s="62"/>
      <c r="AQ74" s="62"/>
      <c r="AR74" s="62"/>
      <c r="AS74" s="62"/>
      <c r="AT74" s="49"/>
      <c r="AU74" s="49"/>
      <c r="AV74" s="49"/>
      <c r="AW74" s="49"/>
      <c r="AX74" s="49"/>
      <c r="AY74" s="49"/>
      <c r="AZ74" s="49"/>
      <c r="BA74" s="49"/>
      <c r="BB74" s="49"/>
      <c r="BC74" s="49"/>
      <c r="BD74" s="49"/>
      <c r="BE74" s="49"/>
      <c r="BF74" s="49"/>
      <c r="BG74" s="49">
        <v>0.68</v>
      </c>
      <c r="BH74" s="235" t="s">
        <v>191</v>
      </c>
      <c r="BI74" s="232" t="s">
        <v>82</v>
      </c>
      <c r="BJ74" s="226" t="s">
        <v>231</v>
      </c>
      <c r="BK74" s="233" t="s">
        <v>120</v>
      </c>
      <c r="BL74" s="226"/>
      <c r="BM74" s="226" t="s">
        <v>1026</v>
      </c>
    </row>
    <row r="75" spans="1:65" s="252" customFormat="1" ht="63" x14ac:dyDescent="0.25">
      <c r="A75" s="215">
        <f t="shared" ref="A75:A82" si="30">A74+1</f>
        <v>43</v>
      </c>
      <c r="B75" s="237" t="s">
        <v>232</v>
      </c>
      <c r="C75" s="55" t="s">
        <v>82</v>
      </c>
      <c r="D75" s="243" t="s">
        <v>32</v>
      </c>
      <c r="E75" s="28">
        <f t="shared" si="21"/>
        <v>10</v>
      </c>
      <c r="F75" s="28"/>
      <c r="G75" s="28">
        <f t="shared" si="29"/>
        <v>10</v>
      </c>
      <c r="H75" s="33"/>
      <c r="I75" s="51"/>
      <c r="J75" s="51"/>
      <c r="K75" s="179">
        <v>3.75</v>
      </c>
      <c r="L75" s="179">
        <f>2.68-0.5</f>
        <v>2.1800000000000002</v>
      </c>
      <c r="M75" s="235"/>
      <c r="N75" s="33"/>
      <c r="O75" s="33"/>
      <c r="P75" s="33"/>
      <c r="Q75" s="33">
        <f>R75+S75+T75</f>
        <v>0</v>
      </c>
      <c r="R75" s="33"/>
      <c r="S75" s="33"/>
      <c r="T75" s="33"/>
      <c r="U75" s="222">
        <f>SUM(V75:X75)</f>
        <v>3.07</v>
      </c>
      <c r="V75" s="184">
        <f>2.57+0.5</f>
        <v>3.07</v>
      </c>
      <c r="W75" s="49"/>
      <c r="X75" s="49"/>
      <c r="Y75" s="49"/>
      <c r="Z75" s="49"/>
      <c r="AA75" s="49"/>
      <c r="AB75" s="49"/>
      <c r="AC75" s="179">
        <v>0.5</v>
      </c>
      <c r="AD75" s="49"/>
      <c r="AE75" s="49"/>
      <c r="AF75" s="179"/>
      <c r="AG75" s="49"/>
      <c r="AH75" s="49"/>
      <c r="AI75" s="49"/>
      <c r="AJ75" s="49"/>
      <c r="AK75" s="49"/>
      <c r="AL75" s="49"/>
      <c r="AM75" s="49"/>
      <c r="AN75" s="49"/>
      <c r="AO75" s="49"/>
      <c r="AP75" s="49"/>
      <c r="AQ75" s="49"/>
      <c r="AR75" s="49"/>
      <c r="AS75" s="49"/>
      <c r="AT75" s="179">
        <v>0.5</v>
      </c>
      <c r="AU75" s="49"/>
      <c r="AV75" s="49"/>
      <c r="AW75" s="49"/>
      <c r="AX75" s="49"/>
      <c r="AY75" s="49"/>
      <c r="AZ75" s="49"/>
      <c r="BA75" s="49"/>
      <c r="BB75" s="49"/>
      <c r="BC75" s="49"/>
      <c r="BD75" s="49"/>
      <c r="BE75" s="49"/>
      <c r="BF75" s="49"/>
      <c r="BG75" s="49"/>
      <c r="BH75" s="232" t="s">
        <v>222</v>
      </c>
      <c r="BI75" s="55" t="s">
        <v>82</v>
      </c>
      <c r="BJ75" s="233" t="s">
        <v>233</v>
      </c>
      <c r="BK75" s="234" t="s">
        <v>234</v>
      </c>
      <c r="BL75" s="218" t="s">
        <v>235</v>
      </c>
      <c r="BM75" s="226" t="s">
        <v>1026</v>
      </c>
    </row>
    <row r="76" spans="1:65" s="252" customFormat="1" ht="47.25" x14ac:dyDescent="0.25">
      <c r="A76" s="215">
        <f t="shared" si="30"/>
        <v>44</v>
      </c>
      <c r="B76" s="216" t="s">
        <v>236</v>
      </c>
      <c r="C76" s="218" t="s">
        <v>82</v>
      </c>
      <c r="D76" s="243" t="s">
        <v>32</v>
      </c>
      <c r="E76" s="20">
        <f>F76+G76</f>
        <v>9.3299999999999983</v>
      </c>
      <c r="F76" s="20"/>
      <c r="G76" s="28">
        <f>SUM(H76:M76,Q76,U76,Y76:BG76)</f>
        <v>9.3299999999999983</v>
      </c>
      <c r="H76" s="49"/>
      <c r="I76" s="49">
        <v>1.1000000000000001</v>
      </c>
      <c r="J76" s="62"/>
      <c r="K76" s="49"/>
      <c r="L76" s="49"/>
      <c r="M76" s="49"/>
      <c r="N76" s="62"/>
      <c r="O76" s="62"/>
      <c r="P76" s="62"/>
      <c r="Q76" s="62"/>
      <c r="R76" s="62"/>
      <c r="S76" s="62"/>
      <c r="T76" s="62"/>
      <c r="U76" s="222">
        <f>SUM(V76:X76)</f>
        <v>8.2299999999999986</v>
      </c>
      <c r="V76" s="49">
        <f>5+4.91-0.63-0.04-0.16-0.8-0.05</f>
        <v>8.2299999999999986</v>
      </c>
      <c r="W76" s="49"/>
      <c r="X76" s="49"/>
      <c r="Y76" s="49"/>
      <c r="Z76" s="62"/>
      <c r="AA76" s="62"/>
      <c r="AB76" s="62"/>
      <c r="AC76" s="49"/>
      <c r="AD76" s="49"/>
      <c r="AE76" s="49"/>
      <c r="AF76" s="49"/>
      <c r="AG76" s="49"/>
      <c r="AH76" s="62"/>
      <c r="AI76" s="49"/>
      <c r="AJ76" s="49"/>
      <c r="AK76" s="49"/>
      <c r="AL76" s="49"/>
      <c r="AM76" s="49"/>
      <c r="AN76" s="49"/>
      <c r="AO76" s="62"/>
      <c r="AP76" s="62"/>
      <c r="AQ76" s="62"/>
      <c r="AR76" s="62"/>
      <c r="AS76" s="62"/>
      <c r="AT76" s="49"/>
      <c r="AU76" s="49"/>
      <c r="AV76" s="49"/>
      <c r="AW76" s="49"/>
      <c r="AX76" s="49"/>
      <c r="AY76" s="49"/>
      <c r="AZ76" s="49"/>
      <c r="BA76" s="49"/>
      <c r="BB76" s="49"/>
      <c r="BC76" s="49"/>
      <c r="BD76" s="49"/>
      <c r="BE76" s="49"/>
      <c r="BF76" s="49"/>
      <c r="BG76" s="49"/>
      <c r="BH76" s="235" t="s">
        <v>237</v>
      </c>
      <c r="BI76" s="218" t="s">
        <v>82</v>
      </c>
      <c r="BJ76" s="90" t="s">
        <v>238</v>
      </c>
      <c r="BK76" s="239" t="s">
        <v>398</v>
      </c>
      <c r="BL76" s="218" t="s">
        <v>239</v>
      </c>
      <c r="BM76" s="226" t="s">
        <v>1026</v>
      </c>
    </row>
    <row r="77" spans="1:65" s="252" customFormat="1" ht="47.25" x14ac:dyDescent="0.25">
      <c r="A77" s="215">
        <f t="shared" si="30"/>
        <v>45</v>
      </c>
      <c r="B77" s="216" t="s">
        <v>240</v>
      </c>
      <c r="C77" s="218" t="s">
        <v>82</v>
      </c>
      <c r="D77" s="243" t="s">
        <v>32</v>
      </c>
      <c r="E77" s="20">
        <f>F77+G77</f>
        <v>14.32</v>
      </c>
      <c r="F77" s="20">
        <v>14.32</v>
      </c>
      <c r="G77" s="30">
        <f>SUM(H77:M77,Q77,U77,Y77:BG77)</f>
        <v>0</v>
      </c>
      <c r="H77" s="49"/>
      <c r="I77" s="49"/>
      <c r="J77" s="62"/>
      <c r="K77" s="49"/>
      <c r="L77" s="49"/>
      <c r="M77" s="49"/>
      <c r="N77" s="62"/>
      <c r="O77" s="62"/>
      <c r="P77" s="62"/>
      <c r="Q77" s="62"/>
      <c r="R77" s="62"/>
      <c r="S77" s="62"/>
      <c r="T77" s="62"/>
      <c r="U77" s="222"/>
      <c r="V77" s="49"/>
      <c r="W77" s="49"/>
      <c r="X77" s="49"/>
      <c r="Y77" s="49"/>
      <c r="Z77" s="62"/>
      <c r="AA77" s="62"/>
      <c r="AB77" s="62"/>
      <c r="AC77" s="49"/>
      <c r="AD77" s="49"/>
      <c r="AE77" s="49"/>
      <c r="AF77" s="49"/>
      <c r="AG77" s="49"/>
      <c r="AH77" s="62"/>
      <c r="AI77" s="49"/>
      <c r="AJ77" s="49"/>
      <c r="AK77" s="49"/>
      <c r="AL77" s="49"/>
      <c r="AM77" s="49"/>
      <c r="AN77" s="49"/>
      <c r="AO77" s="62"/>
      <c r="AP77" s="62"/>
      <c r="AQ77" s="62"/>
      <c r="AR77" s="62"/>
      <c r="AS77" s="62"/>
      <c r="AT77" s="49"/>
      <c r="AU77" s="49"/>
      <c r="AV77" s="49"/>
      <c r="AW77" s="49"/>
      <c r="AX77" s="49"/>
      <c r="AY77" s="49"/>
      <c r="AZ77" s="49"/>
      <c r="BA77" s="49"/>
      <c r="BB77" s="49"/>
      <c r="BC77" s="49"/>
      <c r="BD77" s="49"/>
      <c r="BE77" s="49"/>
      <c r="BF77" s="49"/>
      <c r="BG77" s="49"/>
      <c r="BH77" s="235" t="s">
        <v>241</v>
      </c>
      <c r="BI77" s="218" t="s">
        <v>82</v>
      </c>
      <c r="BJ77" s="235" t="s">
        <v>242</v>
      </c>
      <c r="BK77" s="239" t="s">
        <v>120</v>
      </c>
      <c r="BL77" s="218" t="s">
        <v>243</v>
      </c>
      <c r="BM77" s="226" t="s">
        <v>1026</v>
      </c>
    </row>
    <row r="78" spans="1:65" s="252" customFormat="1" ht="31.5" x14ac:dyDescent="0.25">
      <c r="A78" s="215">
        <f t="shared" si="30"/>
        <v>46</v>
      </c>
      <c r="B78" s="216" t="s">
        <v>244</v>
      </c>
      <c r="C78" s="226" t="s">
        <v>154</v>
      </c>
      <c r="D78" s="218" t="s">
        <v>32</v>
      </c>
      <c r="E78" s="20">
        <f t="shared" si="21"/>
        <v>2.0699999999999998</v>
      </c>
      <c r="F78" s="27"/>
      <c r="G78" s="28">
        <f t="shared" si="29"/>
        <v>2.0699999999999998</v>
      </c>
      <c r="H78" s="29"/>
      <c r="I78" s="29"/>
      <c r="J78" s="29"/>
      <c r="K78" s="29"/>
      <c r="L78" s="29"/>
      <c r="M78" s="28"/>
      <c r="N78" s="28"/>
      <c r="O78" s="28"/>
      <c r="P78" s="28"/>
      <c r="Q78" s="28"/>
      <c r="R78" s="28"/>
      <c r="S78" s="28"/>
      <c r="T78" s="28"/>
      <c r="U78" s="222">
        <f>SUM(V78:X78)</f>
        <v>0.63</v>
      </c>
      <c r="V78" s="28">
        <v>0.63</v>
      </c>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v>1.44</v>
      </c>
      <c r="BH78" s="235" t="s">
        <v>245</v>
      </c>
      <c r="BI78" s="226" t="s">
        <v>154</v>
      </c>
      <c r="BJ78" s="226" t="s">
        <v>246</v>
      </c>
      <c r="BK78" s="25" t="s">
        <v>68</v>
      </c>
      <c r="BL78" s="218" t="s">
        <v>247</v>
      </c>
      <c r="BM78" s="226" t="s">
        <v>1026</v>
      </c>
    </row>
    <row r="79" spans="1:65" s="252" customFormat="1" ht="31.5" x14ac:dyDescent="0.25">
      <c r="A79" s="215">
        <f t="shared" si="30"/>
        <v>47</v>
      </c>
      <c r="B79" s="216" t="s">
        <v>248</v>
      </c>
      <c r="C79" s="226" t="s">
        <v>71</v>
      </c>
      <c r="D79" s="243" t="s">
        <v>32</v>
      </c>
      <c r="E79" s="28">
        <f t="shared" si="21"/>
        <v>0.08</v>
      </c>
      <c r="F79" s="21"/>
      <c r="G79" s="28">
        <f t="shared" si="29"/>
        <v>0.08</v>
      </c>
      <c r="H79" s="49"/>
      <c r="I79" s="49"/>
      <c r="J79" s="49"/>
      <c r="K79" s="49"/>
      <c r="L79" s="49"/>
      <c r="M79" s="235"/>
      <c r="N79" s="49"/>
      <c r="O79" s="49"/>
      <c r="P79" s="49"/>
      <c r="Q79" s="33">
        <f>R79+S79+T79</f>
        <v>0</v>
      </c>
      <c r="R79" s="49"/>
      <c r="S79" s="49"/>
      <c r="T79" s="49"/>
      <c r="U79" s="222">
        <f>SUM(V79:X79)</f>
        <v>0</v>
      </c>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v>0.08</v>
      </c>
      <c r="AW79" s="49"/>
      <c r="AX79" s="49"/>
      <c r="AY79" s="49"/>
      <c r="AZ79" s="49"/>
      <c r="BA79" s="49"/>
      <c r="BB79" s="49"/>
      <c r="BC79" s="49"/>
      <c r="BD79" s="49"/>
      <c r="BE79" s="49"/>
      <c r="BF79" s="49"/>
      <c r="BG79" s="49"/>
      <c r="BH79" s="235" t="s">
        <v>879</v>
      </c>
      <c r="BI79" s="226" t="s">
        <v>71</v>
      </c>
      <c r="BJ79" s="226" t="s">
        <v>249</v>
      </c>
      <c r="BK79" s="239" t="s">
        <v>120</v>
      </c>
      <c r="BL79" s="218" t="s">
        <v>243</v>
      </c>
      <c r="BM79" s="226" t="s">
        <v>1026</v>
      </c>
    </row>
    <row r="80" spans="1:65" s="252" customFormat="1" ht="47.25" x14ac:dyDescent="0.25">
      <c r="A80" s="215">
        <f t="shared" si="30"/>
        <v>48</v>
      </c>
      <c r="B80" s="216" t="s">
        <v>250</v>
      </c>
      <c r="C80" s="226" t="s">
        <v>71</v>
      </c>
      <c r="D80" s="243" t="s">
        <v>32</v>
      </c>
      <c r="E80" s="28">
        <f t="shared" si="21"/>
        <v>1</v>
      </c>
      <c r="F80" s="21"/>
      <c r="G80" s="28">
        <f t="shared" si="29"/>
        <v>1</v>
      </c>
      <c r="H80" s="49"/>
      <c r="I80" s="49"/>
      <c r="J80" s="49"/>
      <c r="K80" s="49"/>
      <c r="L80" s="49"/>
      <c r="M80" s="235">
        <f>SUM(N80:P80)</f>
        <v>1</v>
      </c>
      <c r="N80" s="49"/>
      <c r="O80" s="49">
        <v>1</v>
      </c>
      <c r="P80" s="49"/>
      <c r="Q80" s="33">
        <f>R80+S80+T80</f>
        <v>0</v>
      </c>
      <c r="R80" s="49"/>
      <c r="S80" s="49"/>
      <c r="T80" s="49"/>
      <c r="U80" s="222">
        <f>SUM(V80:X80)</f>
        <v>0</v>
      </c>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235" t="s">
        <v>380</v>
      </c>
      <c r="BI80" s="226" t="s">
        <v>71</v>
      </c>
      <c r="BJ80" s="226" t="s">
        <v>251</v>
      </c>
      <c r="BK80" s="239" t="s">
        <v>120</v>
      </c>
      <c r="BL80" s="218" t="s">
        <v>243</v>
      </c>
      <c r="BM80" s="226" t="s">
        <v>1026</v>
      </c>
    </row>
    <row r="81" spans="1:65" s="252" customFormat="1" ht="47.25" x14ac:dyDescent="0.25">
      <c r="A81" s="215">
        <f t="shared" si="30"/>
        <v>49</v>
      </c>
      <c r="B81" s="216" t="s">
        <v>252</v>
      </c>
      <c r="C81" s="226" t="s">
        <v>71</v>
      </c>
      <c r="D81" s="243" t="s">
        <v>32</v>
      </c>
      <c r="E81" s="28">
        <f t="shared" si="21"/>
        <v>1</v>
      </c>
      <c r="F81" s="91"/>
      <c r="G81" s="28">
        <f t="shared" si="29"/>
        <v>1</v>
      </c>
      <c r="H81" s="49"/>
      <c r="I81" s="49"/>
      <c r="J81" s="49"/>
      <c r="K81" s="49"/>
      <c r="L81" s="49"/>
      <c r="M81" s="235"/>
      <c r="N81" s="49"/>
      <c r="O81" s="49"/>
      <c r="P81" s="49"/>
      <c r="Q81" s="33">
        <f>R81+S81+T81</f>
        <v>0</v>
      </c>
      <c r="R81" s="49"/>
      <c r="S81" s="49"/>
      <c r="T81" s="49"/>
      <c r="U81" s="222">
        <f>SUM(V81:X81)</f>
        <v>1</v>
      </c>
      <c r="V81" s="49"/>
      <c r="W81" s="49">
        <v>1</v>
      </c>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235" t="s">
        <v>76</v>
      </c>
      <c r="BI81" s="226" t="s">
        <v>71</v>
      </c>
      <c r="BJ81" s="226" t="s">
        <v>253</v>
      </c>
      <c r="BK81" s="239" t="s">
        <v>120</v>
      </c>
      <c r="BL81" s="232" t="s">
        <v>202</v>
      </c>
      <c r="BM81" s="226" t="s">
        <v>1026</v>
      </c>
    </row>
    <row r="82" spans="1:65" s="252" customFormat="1" ht="78.75" x14ac:dyDescent="0.25">
      <c r="A82" s="407">
        <f t="shared" si="30"/>
        <v>50</v>
      </c>
      <c r="B82" s="408" t="s">
        <v>254</v>
      </c>
      <c r="C82" s="226" t="s">
        <v>122</v>
      </c>
      <c r="D82" s="243" t="s">
        <v>32</v>
      </c>
      <c r="E82" s="28">
        <f t="shared" si="21"/>
        <v>0.69000000000000006</v>
      </c>
      <c r="F82" s="91"/>
      <c r="G82" s="28">
        <f t="shared" si="29"/>
        <v>0.69000000000000006</v>
      </c>
      <c r="H82" s="92">
        <v>0</v>
      </c>
      <c r="I82" s="92">
        <v>0</v>
      </c>
      <c r="J82" s="92">
        <v>0</v>
      </c>
      <c r="K82" s="92">
        <f>0.3+0.04</f>
        <v>0.33999999999999997</v>
      </c>
      <c r="L82" s="92">
        <v>0</v>
      </c>
      <c r="M82" s="92">
        <v>0</v>
      </c>
      <c r="N82" s="92">
        <v>0</v>
      </c>
      <c r="O82" s="92">
        <v>0</v>
      </c>
      <c r="P82" s="92">
        <v>0</v>
      </c>
      <c r="Q82" s="92">
        <v>0</v>
      </c>
      <c r="R82" s="92">
        <v>0</v>
      </c>
      <c r="S82" s="92">
        <v>0</v>
      </c>
      <c r="T82" s="92">
        <v>0</v>
      </c>
      <c r="U82" s="222">
        <f>SUM(V82:X82)</f>
        <v>0.16</v>
      </c>
      <c r="V82" s="92"/>
      <c r="W82" s="92">
        <v>0</v>
      </c>
      <c r="X82" s="92">
        <v>0.16</v>
      </c>
      <c r="Y82" s="92">
        <v>0.05</v>
      </c>
      <c r="Z82" s="92">
        <v>0</v>
      </c>
      <c r="AA82" s="92">
        <v>0</v>
      </c>
      <c r="AB82" s="92">
        <v>0</v>
      </c>
      <c r="AC82" s="92">
        <v>0</v>
      </c>
      <c r="AD82" s="92">
        <v>0</v>
      </c>
      <c r="AE82" s="92">
        <v>0</v>
      </c>
      <c r="AF82" s="92">
        <v>0</v>
      </c>
      <c r="AG82" s="92">
        <v>0</v>
      </c>
      <c r="AH82" s="92">
        <v>0</v>
      </c>
      <c r="AI82" s="92">
        <v>0</v>
      </c>
      <c r="AJ82" s="92">
        <v>0</v>
      </c>
      <c r="AK82" s="92">
        <v>0</v>
      </c>
      <c r="AL82" s="92">
        <v>0</v>
      </c>
      <c r="AM82" s="92">
        <v>0</v>
      </c>
      <c r="AN82" s="92">
        <v>0</v>
      </c>
      <c r="AO82" s="92">
        <v>0</v>
      </c>
      <c r="AP82" s="92">
        <v>0</v>
      </c>
      <c r="AQ82" s="92">
        <v>0</v>
      </c>
      <c r="AR82" s="92">
        <v>0</v>
      </c>
      <c r="AS82" s="92">
        <v>0</v>
      </c>
      <c r="AT82" s="92">
        <v>0.04</v>
      </c>
      <c r="AU82" s="92">
        <v>0</v>
      </c>
      <c r="AV82" s="92">
        <v>0</v>
      </c>
      <c r="AW82" s="92">
        <v>0</v>
      </c>
      <c r="AX82" s="92">
        <v>0</v>
      </c>
      <c r="AY82" s="92">
        <v>0</v>
      </c>
      <c r="AZ82" s="92">
        <v>0</v>
      </c>
      <c r="BA82" s="92">
        <v>0</v>
      </c>
      <c r="BB82" s="92">
        <v>0</v>
      </c>
      <c r="BC82" s="92">
        <v>0</v>
      </c>
      <c r="BD82" s="92">
        <v>0</v>
      </c>
      <c r="BE82" s="92">
        <v>0</v>
      </c>
      <c r="BF82" s="92">
        <v>0</v>
      </c>
      <c r="BG82" s="92">
        <v>0.1</v>
      </c>
      <c r="BH82" s="232" t="s">
        <v>255</v>
      </c>
      <c r="BI82" s="226" t="s">
        <v>122</v>
      </c>
      <c r="BJ82" s="226" t="s">
        <v>1084</v>
      </c>
      <c r="BK82" s="239" t="s">
        <v>120</v>
      </c>
      <c r="BL82" s="232" t="s">
        <v>202</v>
      </c>
      <c r="BM82" s="236" t="s">
        <v>206</v>
      </c>
    </row>
    <row r="83" spans="1:65" s="252" customFormat="1" ht="31.5" x14ac:dyDescent="0.25">
      <c r="A83" s="407"/>
      <c r="B83" s="408"/>
      <c r="C83" s="226" t="s">
        <v>71</v>
      </c>
      <c r="D83" s="243" t="s">
        <v>32</v>
      </c>
      <c r="E83" s="28">
        <f t="shared" si="21"/>
        <v>0.67999999999999994</v>
      </c>
      <c r="F83" s="91"/>
      <c r="G83" s="28">
        <f t="shared" si="29"/>
        <v>0.67999999999999994</v>
      </c>
      <c r="H83" s="92">
        <v>0</v>
      </c>
      <c r="I83" s="92">
        <v>0</v>
      </c>
      <c r="J83" s="92">
        <v>0</v>
      </c>
      <c r="K83" s="92">
        <v>0.38</v>
      </c>
      <c r="L83" s="92">
        <v>0.3</v>
      </c>
      <c r="M83" s="92">
        <v>0</v>
      </c>
      <c r="N83" s="92">
        <v>0</v>
      </c>
      <c r="O83" s="92">
        <v>0</v>
      </c>
      <c r="P83" s="92">
        <v>0</v>
      </c>
      <c r="Q83" s="92">
        <v>0</v>
      </c>
      <c r="R83" s="92">
        <v>0</v>
      </c>
      <c r="S83" s="92">
        <v>0</v>
      </c>
      <c r="T83" s="92">
        <v>0</v>
      </c>
      <c r="U83" s="92">
        <v>0</v>
      </c>
      <c r="V83" s="92">
        <v>0</v>
      </c>
      <c r="W83" s="92">
        <v>0</v>
      </c>
      <c r="X83" s="92">
        <v>0</v>
      </c>
      <c r="Y83" s="92">
        <v>0</v>
      </c>
      <c r="Z83" s="92">
        <v>0</v>
      </c>
      <c r="AA83" s="92">
        <v>0</v>
      </c>
      <c r="AB83" s="92">
        <v>0</v>
      </c>
      <c r="AC83" s="92">
        <v>0</v>
      </c>
      <c r="AD83" s="92">
        <v>0</v>
      </c>
      <c r="AE83" s="92">
        <v>0</v>
      </c>
      <c r="AF83" s="92">
        <v>0</v>
      </c>
      <c r="AG83" s="92">
        <v>0</v>
      </c>
      <c r="AH83" s="92">
        <v>0</v>
      </c>
      <c r="AI83" s="92">
        <v>0</v>
      </c>
      <c r="AJ83" s="92">
        <v>0</v>
      </c>
      <c r="AK83" s="92">
        <v>0</v>
      </c>
      <c r="AL83" s="92">
        <v>0</v>
      </c>
      <c r="AM83" s="92">
        <v>0</v>
      </c>
      <c r="AN83" s="92">
        <v>0</v>
      </c>
      <c r="AO83" s="92">
        <v>0</v>
      </c>
      <c r="AP83" s="92">
        <v>0</v>
      </c>
      <c r="AQ83" s="92">
        <v>0</v>
      </c>
      <c r="AR83" s="92">
        <v>0</v>
      </c>
      <c r="AS83" s="92">
        <v>0</v>
      </c>
      <c r="AT83" s="92">
        <v>0</v>
      </c>
      <c r="AU83" s="92">
        <v>0</v>
      </c>
      <c r="AV83" s="92">
        <v>0</v>
      </c>
      <c r="AW83" s="92">
        <v>0</v>
      </c>
      <c r="AX83" s="92">
        <v>0</v>
      </c>
      <c r="AY83" s="92">
        <v>0</v>
      </c>
      <c r="AZ83" s="92">
        <v>0</v>
      </c>
      <c r="BA83" s="92">
        <v>0</v>
      </c>
      <c r="BB83" s="92">
        <v>0</v>
      </c>
      <c r="BC83" s="92">
        <v>0</v>
      </c>
      <c r="BD83" s="92">
        <v>0</v>
      </c>
      <c r="BE83" s="92">
        <v>0</v>
      </c>
      <c r="BF83" s="92">
        <v>0</v>
      </c>
      <c r="BG83" s="92">
        <v>0</v>
      </c>
      <c r="BH83" s="232" t="s">
        <v>256</v>
      </c>
      <c r="BI83" s="226" t="s">
        <v>71</v>
      </c>
      <c r="BJ83" s="55" t="s">
        <v>257</v>
      </c>
      <c r="BK83" s="239" t="s">
        <v>120</v>
      </c>
      <c r="BL83" s="232" t="s">
        <v>202</v>
      </c>
      <c r="BM83" s="226" t="s">
        <v>1026</v>
      </c>
    </row>
    <row r="84" spans="1:65" s="252" customFormat="1" x14ac:dyDescent="0.25">
      <c r="A84" s="407"/>
      <c r="B84" s="408"/>
      <c r="C84" s="90" t="s">
        <v>138</v>
      </c>
      <c r="D84" s="243" t="s">
        <v>32</v>
      </c>
      <c r="E84" s="28">
        <f t="shared" si="21"/>
        <v>0.15</v>
      </c>
      <c r="F84" s="91"/>
      <c r="G84" s="28">
        <f t="shared" si="29"/>
        <v>0.15</v>
      </c>
      <c r="H84" s="92">
        <v>0</v>
      </c>
      <c r="I84" s="92">
        <v>0</v>
      </c>
      <c r="J84" s="92">
        <v>0</v>
      </c>
      <c r="K84" s="92">
        <v>0</v>
      </c>
      <c r="L84" s="92">
        <v>0.15</v>
      </c>
      <c r="M84" s="92">
        <v>0</v>
      </c>
      <c r="N84" s="92">
        <v>0</v>
      </c>
      <c r="O84" s="92">
        <v>0</v>
      </c>
      <c r="P84" s="92">
        <v>0</v>
      </c>
      <c r="Q84" s="92">
        <v>0</v>
      </c>
      <c r="R84" s="92">
        <v>0</v>
      </c>
      <c r="S84" s="92">
        <v>0</v>
      </c>
      <c r="T84" s="92">
        <v>0</v>
      </c>
      <c r="U84" s="92">
        <v>0</v>
      </c>
      <c r="V84" s="92">
        <v>0</v>
      </c>
      <c r="W84" s="92">
        <v>0</v>
      </c>
      <c r="X84" s="92">
        <v>0</v>
      </c>
      <c r="Y84" s="92">
        <v>0</v>
      </c>
      <c r="Z84" s="92">
        <v>0</v>
      </c>
      <c r="AA84" s="92">
        <v>0</v>
      </c>
      <c r="AB84" s="92">
        <v>0</v>
      </c>
      <c r="AC84" s="92">
        <v>0</v>
      </c>
      <c r="AD84" s="92">
        <v>0</v>
      </c>
      <c r="AE84" s="92">
        <v>0</v>
      </c>
      <c r="AF84" s="92">
        <v>0</v>
      </c>
      <c r="AG84" s="92">
        <v>0</v>
      </c>
      <c r="AH84" s="92">
        <v>0</v>
      </c>
      <c r="AI84" s="92">
        <v>0</v>
      </c>
      <c r="AJ84" s="92">
        <v>0</v>
      </c>
      <c r="AK84" s="92">
        <v>0</v>
      </c>
      <c r="AL84" s="92">
        <v>0</v>
      </c>
      <c r="AM84" s="92">
        <v>0</v>
      </c>
      <c r="AN84" s="92">
        <v>0</v>
      </c>
      <c r="AO84" s="92">
        <v>0</v>
      </c>
      <c r="AP84" s="92">
        <v>0</v>
      </c>
      <c r="AQ84" s="92">
        <v>0</v>
      </c>
      <c r="AR84" s="92">
        <v>0</v>
      </c>
      <c r="AS84" s="92">
        <v>0</v>
      </c>
      <c r="AT84" s="92">
        <v>0</v>
      </c>
      <c r="AU84" s="92">
        <v>0</v>
      </c>
      <c r="AV84" s="92">
        <v>0</v>
      </c>
      <c r="AW84" s="92">
        <v>0</v>
      </c>
      <c r="AX84" s="92">
        <v>0</v>
      </c>
      <c r="AY84" s="92">
        <v>0</v>
      </c>
      <c r="AZ84" s="92">
        <v>0</v>
      </c>
      <c r="BA84" s="92">
        <v>0</v>
      </c>
      <c r="BB84" s="92">
        <v>0</v>
      </c>
      <c r="BC84" s="92">
        <v>0</v>
      </c>
      <c r="BD84" s="92">
        <v>0</v>
      </c>
      <c r="BE84" s="92">
        <v>0</v>
      </c>
      <c r="BF84" s="92">
        <v>0</v>
      </c>
      <c r="BG84" s="92">
        <v>0</v>
      </c>
      <c r="BH84" s="232" t="s">
        <v>258</v>
      </c>
      <c r="BI84" s="90" t="s">
        <v>138</v>
      </c>
      <c r="BJ84" s="218" t="s">
        <v>259</v>
      </c>
      <c r="BK84" s="239" t="s">
        <v>120</v>
      </c>
      <c r="BL84" s="232" t="s">
        <v>202</v>
      </c>
      <c r="BM84" s="63" t="s">
        <v>206</v>
      </c>
    </row>
    <row r="85" spans="1:65" s="252" customFormat="1" ht="31.5" x14ac:dyDescent="0.25">
      <c r="A85" s="407"/>
      <c r="B85" s="408"/>
      <c r="C85" s="65" t="s">
        <v>158</v>
      </c>
      <c r="D85" s="243" t="s">
        <v>32</v>
      </c>
      <c r="E85" s="28">
        <f t="shared" si="21"/>
        <v>0.27</v>
      </c>
      <c r="F85" s="91"/>
      <c r="G85" s="28">
        <f t="shared" si="29"/>
        <v>0.27</v>
      </c>
      <c r="H85" s="92">
        <v>0.02</v>
      </c>
      <c r="I85" s="92">
        <v>0</v>
      </c>
      <c r="J85" s="92">
        <v>0</v>
      </c>
      <c r="K85" s="92">
        <v>0.04</v>
      </c>
      <c r="L85" s="92">
        <v>0.05</v>
      </c>
      <c r="M85" s="92">
        <v>0</v>
      </c>
      <c r="N85" s="92">
        <v>0</v>
      </c>
      <c r="O85" s="92">
        <v>0</v>
      </c>
      <c r="P85" s="92">
        <v>0</v>
      </c>
      <c r="Q85" s="92">
        <v>0</v>
      </c>
      <c r="R85" s="92">
        <v>0</v>
      </c>
      <c r="S85" s="92">
        <v>0</v>
      </c>
      <c r="T85" s="92">
        <v>0</v>
      </c>
      <c r="U85" s="92">
        <v>0</v>
      </c>
      <c r="V85" s="92">
        <v>0</v>
      </c>
      <c r="W85" s="92">
        <v>0</v>
      </c>
      <c r="X85" s="92">
        <v>0</v>
      </c>
      <c r="Y85" s="92">
        <v>0</v>
      </c>
      <c r="Z85" s="92">
        <v>0</v>
      </c>
      <c r="AA85" s="92">
        <v>0</v>
      </c>
      <c r="AB85" s="92">
        <v>0</v>
      </c>
      <c r="AC85" s="92">
        <v>0</v>
      </c>
      <c r="AD85" s="92">
        <v>0</v>
      </c>
      <c r="AE85" s="92">
        <v>0</v>
      </c>
      <c r="AF85" s="92">
        <v>0</v>
      </c>
      <c r="AG85" s="92">
        <v>0</v>
      </c>
      <c r="AH85" s="92">
        <v>0</v>
      </c>
      <c r="AI85" s="92">
        <v>0</v>
      </c>
      <c r="AJ85" s="92">
        <v>0</v>
      </c>
      <c r="AK85" s="92">
        <v>0</v>
      </c>
      <c r="AL85" s="92">
        <v>0</v>
      </c>
      <c r="AM85" s="92">
        <v>0</v>
      </c>
      <c r="AN85" s="92">
        <v>0</v>
      </c>
      <c r="AO85" s="92">
        <v>0</v>
      </c>
      <c r="AP85" s="92">
        <v>0</v>
      </c>
      <c r="AQ85" s="92">
        <v>0</v>
      </c>
      <c r="AR85" s="92">
        <v>0</v>
      </c>
      <c r="AS85" s="92">
        <v>0</v>
      </c>
      <c r="AT85" s="92">
        <v>0</v>
      </c>
      <c r="AU85" s="92">
        <v>0</v>
      </c>
      <c r="AV85" s="92">
        <v>0</v>
      </c>
      <c r="AW85" s="92">
        <v>0</v>
      </c>
      <c r="AX85" s="92">
        <v>0</v>
      </c>
      <c r="AY85" s="92">
        <v>0</v>
      </c>
      <c r="AZ85" s="92">
        <v>0</v>
      </c>
      <c r="BA85" s="92">
        <v>0</v>
      </c>
      <c r="BB85" s="92">
        <v>0</v>
      </c>
      <c r="BC85" s="92">
        <v>0</v>
      </c>
      <c r="BD85" s="92">
        <v>0</v>
      </c>
      <c r="BE85" s="92">
        <v>0</v>
      </c>
      <c r="BF85" s="92">
        <v>0</v>
      </c>
      <c r="BG85" s="92">
        <v>0.16</v>
      </c>
      <c r="BH85" s="55" t="s">
        <v>260</v>
      </c>
      <c r="BI85" s="65" t="s">
        <v>158</v>
      </c>
      <c r="BJ85" s="232" t="s">
        <v>261</v>
      </c>
      <c r="BK85" s="239" t="s">
        <v>120</v>
      </c>
      <c r="BL85" s="232" t="s">
        <v>202</v>
      </c>
      <c r="BM85" s="63" t="s">
        <v>206</v>
      </c>
    </row>
    <row r="86" spans="1:65" s="252" customFormat="1" x14ac:dyDescent="0.25">
      <c r="A86" s="407"/>
      <c r="B86" s="408"/>
      <c r="C86" s="226" t="s">
        <v>142</v>
      </c>
      <c r="D86" s="243" t="s">
        <v>32</v>
      </c>
      <c r="E86" s="28">
        <f t="shared" si="21"/>
        <v>0.06</v>
      </c>
      <c r="F86" s="28"/>
      <c r="G86" s="28">
        <f t="shared" si="29"/>
        <v>0.06</v>
      </c>
      <c r="H86" s="238"/>
      <c r="I86" s="238"/>
      <c r="J86" s="238">
        <v>0</v>
      </c>
      <c r="K86" s="238"/>
      <c r="L86" s="238">
        <v>0.06</v>
      </c>
      <c r="M86" s="238">
        <v>0</v>
      </c>
      <c r="N86" s="238">
        <v>0</v>
      </c>
      <c r="O86" s="238">
        <v>0</v>
      </c>
      <c r="P86" s="238">
        <v>0</v>
      </c>
      <c r="Q86" s="238">
        <v>0</v>
      </c>
      <c r="R86" s="238">
        <v>0</v>
      </c>
      <c r="S86" s="238">
        <v>0</v>
      </c>
      <c r="T86" s="238">
        <v>0</v>
      </c>
      <c r="U86" s="222">
        <v>0</v>
      </c>
      <c r="V86" s="238"/>
      <c r="W86" s="238"/>
      <c r="X86" s="238">
        <v>0</v>
      </c>
      <c r="Y86" s="238"/>
      <c r="Z86" s="238">
        <v>0</v>
      </c>
      <c r="AA86" s="238">
        <v>0</v>
      </c>
      <c r="AB86" s="238">
        <v>0</v>
      </c>
      <c r="AC86" s="238">
        <v>0</v>
      </c>
      <c r="AD86" s="238">
        <v>0</v>
      </c>
      <c r="AE86" s="238">
        <v>0</v>
      </c>
      <c r="AF86" s="238">
        <v>0</v>
      </c>
      <c r="AG86" s="238">
        <v>0</v>
      </c>
      <c r="AH86" s="238">
        <v>0</v>
      </c>
      <c r="AI86" s="238">
        <v>0</v>
      </c>
      <c r="AJ86" s="238">
        <v>0</v>
      </c>
      <c r="AK86" s="238">
        <v>0</v>
      </c>
      <c r="AL86" s="238">
        <v>0</v>
      </c>
      <c r="AM86" s="238">
        <v>0</v>
      </c>
      <c r="AN86" s="238">
        <v>0</v>
      </c>
      <c r="AO86" s="238">
        <v>0</v>
      </c>
      <c r="AP86" s="238">
        <v>0</v>
      </c>
      <c r="AQ86" s="238">
        <v>0</v>
      </c>
      <c r="AR86" s="238">
        <v>0</v>
      </c>
      <c r="AS86" s="238">
        <v>0</v>
      </c>
      <c r="AT86" s="238">
        <v>0</v>
      </c>
      <c r="AU86" s="238">
        <v>0</v>
      </c>
      <c r="AV86" s="238">
        <v>0</v>
      </c>
      <c r="AW86" s="238">
        <v>0</v>
      </c>
      <c r="AX86" s="238">
        <v>0</v>
      </c>
      <c r="AY86" s="238">
        <v>0</v>
      </c>
      <c r="AZ86" s="238">
        <v>0</v>
      </c>
      <c r="BA86" s="238">
        <v>0</v>
      </c>
      <c r="BB86" s="238">
        <v>0</v>
      </c>
      <c r="BC86" s="238">
        <v>0</v>
      </c>
      <c r="BD86" s="238">
        <v>0</v>
      </c>
      <c r="BE86" s="238">
        <v>0</v>
      </c>
      <c r="BF86" s="238">
        <v>0</v>
      </c>
      <c r="BG86" s="238">
        <v>0</v>
      </c>
      <c r="BH86" s="232" t="s">
        <v>262</v>
      </c>
      <c r="BI86" s="226" t="s">
        <v>142</v>
      </c>
      <c r="BJ86" s="226" t="s">
        <v>263</v>
      </c>
      <c r="BK86" s="239" t="s">
        <v>120</v>
      </c>
      <c r="BL86" s="232" t="s">
        <v>202</v>
      </c>
      <c r="BM86" s="236" t="s">
        <v>206</v>
      </c>
    </row>
    <row r="87" spans="1:65" s="252" customFormat="1" ht="31.5" x14ac:dyDescent="0.25">
      <c r="A87" s="407"/>
      <c r="B87" s="408"/>
      <c r="C87" s="218" t="s">
        <v>87</v>
      </c>
      <c r="D87" s="243" t="s">
        <v>32</v>
      </c>
      <c r="E87" s="20">
        <f t="shared" si="21"/>
        <v>1.1000000000000001</v>
      </c>
      <c r="F87" s="30"/>
      <c r="G87" s="28">
        <f t="shared" si="29"/>
        <v>1.1000000000000001</v>
      </c>
      <c r="H87" s="30"/>
      <c r="I87" s="30"/>
      <c r="J87" s="30"/>
      <c r="K87" s="30"/>
      <c r="L87" s="30">
        <v>0.21</v>
      </c>
      <c r="M87" s="30"/>
      <c r="N87" s="30"/>
      <c r="O87" s="30"/>
      <c r="P87" s="30"/>
      <c r="Q87" s="30"/>
      <c r="R87" s="30"/>
      <c r="S87" s="30"/>
      <c r="T87" s="30"/>
      <c r="U87" s="222">
        <v>0.89</v>
      </c>
      <c r="V87" s="30">
        <v>0.27</v>
      </c>
      <c r="W87" s="30">
        <v>0.62</v>
      </c>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232" t="s">
        <v>1003</v>
      </c>
      <c r="BI87" s="218" t="s">
        <v>87</v>
      </c>
      <c r="BJ87" s="218" t="s">
        <v>264</v>
      </c>
      <c r="BK87" s="239" t="s">
        <v>120</v>
      </c>
      <c r="BL87" s="232" t="s">
        <v>202</v>
      </c>
      <c r="BM87" s="226" t="s">
        <v>1026</v>
      </c>
    </row>
    <row r="88" spans="1:65" s="252" customFormat="1" ht="110.25" x14ac:dyDescent="0.25">
      <c r="A88" s="407"/>
      <c r="B88" s="408"/>
      <c r="C88" s="36" t="s">
        <v>91</v>
      </c>
      <c r="D88" s="243" t="s">
        <v>32</v>
      </c>
      <c r="E88" s="20">
        <f t="shared" si="21"/>
        <v>3.49</v>
      </c>
      <c r="F88" s="30"/>
      <c r="G88" s="28">
        <f t="shared" si="29"/>
        <v>3.49</v>
      </c>
      <c r="H88" s="92">
        <v>0</v>
      </c>
      <c r="I88" s="92">
        <v>0.05</v>
      </c>
      <c r="J88" s="92">
        <v>0</v>
      </c>
      <c r="K88" s="92">
        <v>0.74</v>
      </c>
      <c r="L88" s="92">
        <v>0.04</v>
      </c>
      <c r="M88" s="92">
        <v>0</v>
      </c>
      <c r="N88" s="92">
        <v>0</v>
      </c>
      <c r="O88" s="92">
        <v>0</v>
      </c>
      <c r="P88" s="92">
        <v>0</v>
      </c>
      <c r="Q88" s="92">
        <v>0</v>
      </c>
      <c r="R88" s="92">
        <v>0</v>
      </c>
      <c r="S88" s="92">
        <v>0</v>
      </c>
      <c r="T88" s="92">
        <v>0</v>
      </c>
      <c r="U88" s="92">
        <v>2.54</v>
      </c>
      <c r="V88" s="92">
        <v>2.54</v>
      </c>
      <c r="W88" s="92">
        <v>0</v>
      </c>
      <c r="X88" s="92">
        <v>0</v>
      </c>
      <c r="Y88" s="92">
        <v>0</v>
      </c>
      <c r="Z88" s="92">
        <v>0</v>
      </c>
      <c r="AA88" s="92">
        <v>0</v>
      </c>
      <c r="AB88" s="92">
        <v>0</v>
      </c>
      <c r="AC88" s="92">
        <v>0</v>
      </c>
      <c r="AD88" s="92">
        <v>0</v>
      </c>
      <c r="AE88" s="92">
        <v>0</v>
      </c>
      <c r="AF88" s="92">
        <v>0</v>
      </c>
      <c r="AG88" s="92">
        <v>0</v>
      </c>
      <c r="AH88" s="92">
        <v>0</v>
      </c>
      <c r="AI88" s="92">
        <v>0</v>
      </c>
      <c r="AJ88" s="92">
        <v>0</v>
      </c>
      <c r="AK88" s="92">
        <v>0</v>
      </c>
      <c r="AL88" s="92">
        <v>0</v>
      </c>
      <c r="AM88" s="92">
        <v>0</v>
      </c>
      <c r="AN88" s="92">
        <v>0</v>
      </c>
      <c r="AO88" s="92">
        <v>0</v>
      </c>
      <c r="AP88" s="92">
        <v>0</v>
      </c>
      <c r="AQ88" s="92">
        <v>0</v>
      </c>
      <c r="AR88" s="92">
        <v>0</v>
      </c>
      <c r="AS88" s="92">
        <v>0</v>
      </c>
      <c r="AT88" s="92">
        <v>0</v>
      </c>
      <c r="AU88" s="92">
        <v>0</v>
      </c>
      <c r="AV88" s="92">
        <v>0</v>
      </c>
      <c r="AW88" s="92">
        <v>0</v>
      </c>
      <c r="AX88" s="92">
        <v>0</v>
      </c>
      <c r="AY88" s="92">
        <v>0</v>
      </c>
      <c r="AZ88" s="92">
        <v>0</v>
      </c>
      <c r="BA88" s="92">
        <v>0</v>
      </c>
      <c r="BB88" s="92">
        <v>0</v>
      </c>
      <c r="BC88" s="92">
        <v>0</v>
      </c>
      <c r="BD88" s="92">
        <v>0</v>
      </c>
      <c r="BE88" s="92">
        <v>0</v>
      </c>
      <c r="BF88" s="92">
        <v>0</v>
      </c>
      <c r="BG88" s="92">
        <v>0.12</v>
      </c>
      <c r="BH88" s="232" t="s">
        <v>265</v>
      </c>
      <c r="BI88" s="36" t="s">
        <v>91</v>
      </c>
      <c r="BJ88" s="36" t="s">
        <v>1101</v>
      </c>
      <c r="BK88" s="239" t="s">
        <v>120</v>
      </c>
      <c r="BL88" s="232" t="s">
        <v>202</v>
      </c>
      <c r="BM88" s="63" t="s">
        <v>1036</v>
      </c>
    </row>
    <row r="89" spans="1:65" s="252" customFormat="1" x14ac:dyDescent="0.25">
      <c r="A89" s="407"/>
      <c r="B89" s="408"/>
      <c r="C89" s="90" t="s">
        <v>99</v>
      </c>
      <c r="D89" s="243" t="s">
        <v>32</v>
      </c>
      <c r="E89" s="20">
        <f t="shared" si="21"/>
        <v>5.7</v>
      </c>
      <c r="F89" s="27"/>
      <c r="G89" s="28">
        <f t="shared" si="29"/>
        <v>5.7</v>
      </c>
      <c r="H89" s="54"/>
      <c r="I89" s="54"/>
      <c r="J89" s="54"/>
      <c r="K89" s="54"/>
      <c r="L89" s="54"/>
      <c r="M89" s="54"/>
      <c r="N89" s="54"/>
      <c r="O89" s="54"/>
      <c r="P89" s="54"/>
      <c r="Q89" s="54"/>
      <c r="R89" s="54"/>
      <c r="S89" s="54"/>
      <c r="T89" s="54"/>
      <c r="U89" s="33">
        <v>5.7</v>
      </c>
      <c r="V89" s="92">
        <v>5.7</v>
      </c>
      <c r="W89" s="92"/>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235" t="s">
        <v>266</v>
      </c>
      <c r="BI89" s="90" t="s">
        <v>99</v>
      </c>
      <c r="BJ89" s="90" t="s">
        <v>267</v>
      </c>
      <c r="BK89" s="239" t="s">
        <v>120</v>
      </c>
      <c r="BL89" s="232" t="s">
        <v>202</v>
      </c>
      <c r="BM89" s="63" t="s">
        <v>206</v>
      </c>
    </row>
    <row r="90" spans="1:65" s="252" customFormat="1" ht="31.5" x14ac:dyDescent="0.25">
      <c r="A90" s="407"/>
      <c r="B90" s="408"/>
      <c r="C90" s="219" t="s">
        <v>134</v>
      </c>
      <c r="D90" s="243" t="s">
        <v>32</v>
      </c>
      <c r="E90" s="20">
        <f t="shared" si="21"/>
        <v>5.24</v>
      </c>
      <c r="F90" s="27"/>
      <c r="G90" s="28">
        <f t="shared" si="29"/>
        <v>5.24</v>
      </c>
      <c r="H90" s="92">
        <v>0</v>
      </c>
      <c r="I90" s="92">
        <v>0</v>
      </c>
      <c r="J90" s="92">
        <v>0</v>
      </c>
      <c r="K90" s="92">
        <v>0.4</v>
      </c>
      <c r="L90" s="92">
        <v>0</v>
      </c>
      <c r="M90" s="92">
        <v>0</v>
      </c>
      <c r="N90" s="92">
        <v>0</v>
      </c>
      <c r="O90" s="92">
        <v>0</v>
      </c>
      <c r="P90" s="92">
        <v>0</v>
      </c>
      <c r="Q90" s="92">
        <v>0</v>
      </c>
      <c r="R90" s="92">
        <v>0</v>
      </c>
      <c r="S90" s="92">
        <v>0</v>
      </c>
      <c r="T90" s="92">
        <v>0</v>
      </c>
      <c r="U90" s="92">
        <v>4.83</v>
      </c>
      <c r="V90" s="92">
        <v>3.03</v>
      </c>
      <c r="W90" s="92">
        <v>1.8</v>
      </c>
      <c r="X90" s="92">
        <v>0</v>
      </c>
      <c r="Y90" s="92">
        <v>0.01</v>
      </c>
      <c r="Z90" s="92">
        <v>0</v>
      </c>
      <c r="AA90" s="92">
        <v>0</v>
      </c>
      <c r="AB90" s="92">
        <v>0</v>
      </c>
      <c r="AC90" s="92">
        <v>0</v>
      </c>
      <c r="AD90" s="92">
        <v>0</v>
      </c>
      <c r="AE90" s="92">
        <v>0</v>
      </c>
      <c r="AF90" s="92">
        <v>0</v>
      </c>
      <c r="AG90" s="92">
        <v>0</v>
      </c>
      <c r="AH90" s="92">
        <v>0</v>
      </c>
      <c r="AI90" s="92">
        <v>0</v>
      </c>
      <c r="AJ90" s="92">
        <v>0</v>
      </c>
      <c r="AK90" s="92">
        <v>0</v>
      </c>
      <c r="AL90" s="92">
        <v>0</v>
      </c>
      <c r="AM90" s="92">
        <v>0</v>
      </c>
      <c r="AN90" s="92">
        <v>0</v>
      </c>
      <c r="AO90" s="92">
        <v>0</v>
      </c>
      <c r="AP90" s="92">
        <v>0</v>
      </c>
      <c r="AQ90" s="92">
        <v>0</v>
      </c>
      <c r="AR90" s="92">
        <v>0</v>
      </c>
      <c r="AS90" s="92">
        <v>0</v>
      </c>
      <c r="AT90" s="92">
        <v>0</v>
      </c>
      <c r="AU90" s="92">
        <v>0</v>
      </c>
      <c r="AV90" s="92">
        <v>0</v>
      </c>
      <c r="AW90" s="92">
        <v>0</v>
      </c>
      <c r="AX90" s="92">
        <v>0</v>
      </c>
      <c r="AY90" s="92">
        <v>0</v>
      </c>
      <c r="AZ90" s="92">
        <v>0</v>
      </c>
      <c r="BA90" s="92">
        <v>0</v>
      </c>
      <c r="BB90" s="92">
        <v>0</v>
      </c>
      <c r="BC90" s="92">
        <v>0</v>
      </c>
      <c r="BD90" s="92">
        <v>0</v>
      </c>
      <c r="BE90" s="92">
        <v>0</v>
      </c>
      <c r="BF90" s="92">
        <v>0</v>
      </c>
      <c r="BG90" s="92">
        <v>0</v>
      </c>
      <c r="BH90" s="232" t="s">
        <v>1004</v>
      </c>
      <c r="BI90" s="219" t="s">
        <v>134</v>
      </c>
      <c r="BJ90" s="232" t="s">
        <v>1085</v>
      </c>
      <c r="BK90" s="239" t="s">
        <v>120</v>
      </c>
      <c r="BL90" s="232" t="s">
        <v>202</v>
      </c>
      <c r="BM90" s="63" t="s">
        <v>1026</v>
      </c>
    </row>
    <row r="91" spans="1:65" s="252" customFormat="1" ht="47.25" x14ac:dyDescent="0.25">
      <c r="A91" s="407"/>
      <c r="B91" s="408"/>
      <c r="C91" s="79" t="s">
        <v>95</v>
      </c>
      <c r="D91" s="243" t="s">
        <v>32</v>
      </c>
      <c r="E91" s="20">
        <f t="shared" si="21"/>
        <v>0.98639999999999994</v>
      </c>
      <c r="F91" s="27"/>
      <c r="G91" s="28">
        <f t="shared" si="29"/>
        <v>0.98639999999999994</v>
      </c>
      <c r="H91" s="92">
        <v>0.1457</v>
      </c>
      <c r="I91" s="92">
        <v>0</v>
      </c>
      <c r="J91" s="92">
        <v>0</v>
      </c>
      <c r="K91" s="92">
        <v>0.8407</v>
      </c>
      <c r="L91" s="92">
        <v>0</v>
      </c>
      <c r="M91" s="92">
        <v>0</v>
      </c>
      <c r="N91" s="92">
        <v>0</v>
      </c>
      <c r="O91" s="92">
        <v>0</v>
      </c>
      <c r="P91" s="92">
        <v>0</v>
      </c>
      <c r="Q91" s="92">
        <v>0</v>
      </c>
      <c r="R91" s="92">
        <v>0</v>
      </c>
      <c r="S91" s="92">
        <v>0</v>
      </c>
      <c r="T91" s="92">
        <v>0</v>
      </c>
      <c r="U91" s="92">
        <v>0</v>
      </c>
      <c r="V91" s="92">
        <v>0</v>
      </c>
      <c r="W91" s="92">
        <v>0</v>
      </c>
      <c r="X91" s="92">
        <v>0</v>
      </c>
      <c r="Y91" s="92">
        <v>0</v>
      </c>
      <c r="Z91" s="92">
        <v>0</v>
      </c>
      <c r="AA91" s="92">
        <v>0</v>
      </c>
      <c r="AB91" s="92">
        <v>0</v>
      </c>
      <c r="AC91" s="92">
        <v>0</v>
      </c>
      <c r="AD91" s="92">
        <v>0</v>
      </c>
      <c r="AE91" s="92">
        <v>0</v>
      </c>
      <c r="AF91" s="92">
        <v>0</v>
      </c>
      <c r="AG91" s="92">
        <v>0</v>
      </c>
      <c r="AH91" s="92">
        <v>0</v>
      </c>
      <c r="AI91" s="92">
        <v>0</v>
      </c>
      <c r="AJ91" s="92">
        <v>0</v>
      </c>
      <c r="AK91" s="92">
        <v>0</v>
      </c>
      <c r="AL91" s="92">
        <v>0</v>
      </c>
      <c r="AM91" s="92">
        <v>0</v>
      </c>
      <c r="AN91" s="92">
        <v>0</v>
      </c>
      <c r="AO91" s="92">
        <v>0</v>
      </c>
      <c r="AP91" s="92">
        <v>0</v>
      </c>
      <c r="AQ91" s="92">
        <v>0</v>
      </c>
      <c r="AR91" s="92">
        <v>0</v>
      </c>
      <c r="AS91" s="92">
        <v>0</v>
      </c>
      <c r="AT91" s="92">
        <v>0</v>
      </c>
      <c r="AU91" s="92">
        <v>0</v>
      </c>
      <c r="AV91" s="92">
        <v>0</v>
      </c>
      <c r="AW91" s="92">
        <v>0</v>
      </c>
      <c r="AX91" s="92">
        <v>0</v>
      </c>
      <c r="AY91" s="92">
        <v>0</v>
      </c>
      <c r="AZ91" s="92">
        <v>0</v>
      </c>
      <c r="BA91" s="92">
        <v>0</v>
      </c>
      <c r="BB91" s="92">
        <v>0</v>
      </c>
      <c r="BC91" s="92">
        <v>0</v>
      </c>
      <c r="BD91" s="92">
        <v>0</v>
      </c>
      <c r="BE91" s="92">
        <v>0</v>
      </c>
      <c r="BF91" s="92">
        <v>0</v>
      </c>
      <c r="BG91" s="92">
        <v>0</v>
      </c>
      <c r="BH91" s="235" t="s">
        <v>268</v>
      </c>
      <c r="BI91" s="79" t="s">
        <v>95</v>
      </c>
      <c r="BJ91" s="236" t="s">
        <v>1037</v>
      </c>
      <c r="BK91" s="239" t="s">
        <v>120</v>
      </c>
      <c r="BL91" s="232" t="s">
        <v>202</v>
      </c>
      <c r="BM91" s="63" t="s">
        <v>206</v>
      </c>
    </row>
    <row r="92" spans="1:65" s="252" customFormat="1" x14ac:dyDescent="0.25">
      <c r="A92" s="407"/>
      <c r="B92" s="408"/>
      <c r="C92" s="79" t="s">
        <v>150</v>
      </c>
      <c r="D92" s="243" t="s">
        <v>32</v>
      </c>
      <c r="E92" s="28">
        <f t="shared" si="21"/>
        <v>0.16</v>
      </c>
      <c r="F92" s="20"/>
      <c r="G92" s="28">
        <f t="shared" si="29"/>
        <v>0.16</v>
      </c>
      <c r="H92" s="49">
        <v>0.16</v>
      </c>
      <c r="I92" s="49"/>
      <c r="J92" s="49"/>
      <c r="K92" s="49"/>
      <c r="L92" s="49"/>
      <c r="M92" s="235"/>
      <c r="N92" s="49"/>
      <c r="O92" s="49"/>
      <c r="P92" s="49"/>
      <c r="Q92" s="49"/>
      <c r="R92" s="49"/>
      <c r="S92" s="49"/>
      <c r="T92" s="49"/>
      <c r="U92" s="222"/>
      <c r="V92" s="33"/>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232" t="s">
        <v>510</v>
      </c>
      <c r="BI92" s="79" t="s">
        <v>150</v>
      </c>
      <c r="BJ92" s="236" t="s">
        <v>1038</v>
      </c>
      <c r="BK92" s="239" t="s">
        <v>120</v>
      </c>
      <c r="BL92" s="232" t="s">
        <v>202</v>
      </c>
      <c r="BM92" s="63" t="s">
        <v>206</v>
      </c>
    </row>
    <row r="93" spans="1:65" s="252" customFormat="1" x14ac:dyDescent="0.25">
      <c r="A93" s="407"/>
      <c r="B93" s="408"/>
      <c r="C93" s="226" t="s">
        <v>79</v>
      </c>
      <c r="D93" s="218" t="s">
        <v>32</v>
      </c>
      <c r="E93" s="28">
        <f t="shared" si="21"/>
        <v>7.0000000000000007E-2</v>
      </c>
      <c r="F93" s="20"/>
      <c r="G93" s="28">
        <f t="shared" si="29"/>
        <v>7.0000000000000007E-2</v>
      </c>
      <c r="H93" s="49">
        <v>7.0000000000000007E-2</v>
      </c>
      <c r="I93" s="49"/>
      <c r="J93" s="49"/>
      <c r="K93" s="49"/>
      <c r="L93" s="49"/>
      <c r="M93" s="235"/>
      <c r="N93" s="49"/>
      <c r="O93" s="49"/>
      <c r="P93" s="49"/>
      <c r="Q93" s="49"/>
      <c r="R93" s="49"/>
      <c r="S93" s="49"/>
      <c r="T93" s="49"/>
      <c r="U93" s="222">
        <v>0</v>
      </c>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63" t="s">
        <v>270</v>
      </c>
      <c r="BI93" s="226" t="s">
        <v>79</v>
      </c>
      <c r="BJ93" s="226" t="s">
        <v>271</v>
      </c>
      <c r="BK93" s="239" t="s">
        <v>120</v>
      </c>
      <c r="BL93" s="232" t="s">
        <v>202</v>
      </c>
      <c r="BM93" s="218" t="s">
        <v>206</v>
      </c>
    </row>
    <row r="94" spans="1:65" s="252" customFormat="1" ht="63" x14ac:dyDescent="0.25">
      <c r="A94" s="407"/>
      <c r="B94" s="408"/>
      <c r="C94" s="226" t="s">
        <v>349</v>
      </c>
      <c r="D94" s="218" t="s">
        <v>32</v>
      </c>
      <c r="E94" s="28">
        <f t="shared" si="21"/>
        <v>0.36000000000000004</v>
      </c>
      <c r="F94" s="20"/>
      <c r="G94" s="28">
        <f t="shared" si="29"/>
        <v>0.36000000000000004</v>
      </c>
      <c r="H94" s="92">
        <v>0</v>
      </c>
      <c r="I94" s="92">
        <v>0.14000000000000001</v>
      </c>
      <c r="J94" s="92">
        <v>0</v>
      </c>
      <c r="K94" s="92">
        <v>0.15</v>
      </c>
      <c r="L94" s="92">
        <v>0.05</v>
      </c>
      <c r="M94" s="92">
        <v>0</v>
      </c>
      <c r="N94" s="92">
        <v>0</v>
      </c>
      <c r="O94" s="92">
        <v>0</v>
      </c>
      <c r="P94" s="92">
        <v>0</v>
      </c>
      <c r="Q94" s="92">
        <v>0</v>
      </c>
      <c r="R94" s="92">
        <v>0</v>
      </c>
      <c r="S94" s="92">
        <v>0</v>
      </c>
      <c r="T94" s="92">
        <v>0</v>
      </c>
      <c r="U94" s="92">
        <v>0</v>
      </c>
      <c r="V94" s="92">
        <v>0</v>
      </c>
      <c r="W94" s="92">
        <v>0</v>
      </c>
      <c r="X94" s="92">
        <v>0</v>
      </c>
      <c r="Y94" s="92">
        <v>0.02</v>
      </c>
      <c r="Z94" s="92">
        <v>0</v>
      </c>
      <c r="AA94" s="92">
        <v>0</v>
      </c>
      <c r="AB94" s="92">
        <v>0</v>
      </c>
      <c r="AC94" s="92">
        <v>0</v>
      </c>
      <c r="AD94" s="92">
        <v>0</v>
      </c>
      <c r="AE94" s="92">
        <v>0</v>
      </c>
      <c r="AF94" s="92">
        <v>0</v>
      </c>
      <c r="AG94" s="92">
        <v>0</v>
      </c>
      <c r="AH94" s="92">
        <v>0</v>
      </c>
      <c r="AI94" s="92">
        <v>0</v>
      </c>
      <c r="AJ94" s="92">
        <v>0</v>
      </c>
      <c r="AK94" s="92">
        <v>0</v>
      </c>
      <c r="AL94" s="92">
        <v>0</v>
      </c>
      <c r="AM94" s="92">
        <v>0</v>
      </c>
      <c r="AN94" s="92">
        <v>0</v>
      </c>
      <c r="AO94" s="92">
        <v>0</v>
      </c>
      <c r="AP94" s="92">
        <v>0</v>
      </c>
      <c r="AQ94" s="92">
        <v>0</v>
      </c>
      <c r="AR94" s="92">
        <v>0</v>
      </c>
      <c r="AS94" s="92">
        <v>0</v>
      </c>
      <c r="AT94" s="92">
        <v>0</v>
      </c>
      <c r="AU94" s="92">
        <v>0</v>
      </c>
      <c r="AV94" s="92">
        <v>0</v>
      </c>
      <c r="AW94" s="92">
        <v>0</v>
      </c>
      <c r="AX94" s="92">
        <v>0</v>
      </c>
      <c r="AY94" s="92">
        <v>0</v>
      </c>
      <c r="AZ94" s="92">
        <v>0</v>
      </c>
      <c r="BA94" s="92">
        <v>0</v>
      </c>
      <c r="BB94" s="92">
        <v>0</v>
      </c>
      <c r="BC94" s="92">
        <v>0</v>
      </c>
      <c r="BD94" s="92">
        <v>0</v>
      </c>
      <c r="BE94" s="92">
        <v>0</v>
      </c>
      <c r="BF94" s="92">
        <v>0</v>
      </c>
      <c r="BG94" s="92">
        <v>0</v>
      </c>
      <c r="BH94" s="235" t="s">
        <v>272</v>
      </c>
      <c r="BI94" s="226" t="s">
        <v>154</v>
      </c>
      <c r="BJ94" s="226" t="s">
        <v>273</v>
      </c>
      <c r="BK94" s="239" t="s">
        <v>120</v>
      </c>
      <c r="BL94" s="232" t="s">
        <v>202</v>
      </c>
      <c r="BM94" s="226" t="s">
        <v>206</v>
      </c>
    </row>
    <row r="95" spans="1:65" s="252" customFormat="1" ht="31.5" x14ac:dyDescent="0.25">
      <c r="A95" s="407"/>
      <c r="B95" s="408"/>
      <c r="C95" s="55" t="s">
        <v>166</v>
      </c>
      <c r="D95" s="218" t="s">
        <v>32</v>
      </c>
      <c r="E95" s="28">
        <f t="shared" si="21"/>
        <v>0.33999999999999997</v>
      </c>
      <c r="F95" s="20"/>
      <c r="G95" s="28">
        <f t="shared" si="29"/>
        <v>0.33999999999999997</v>
      </c>
      <c r="H95" s="92">
        <v>0</v>
      </c>
      <c r="I95" s="92">
        <v>0.19</v>
      </c>
      <c r="J95" s="92">
        <v>0</v>
      </c>
      <c r="K95" s="92">
        <v>0.15</v>
      </c>
      <c r="L95" s="92">
        <v>0</v>
      </c>
      <c r="M95" s="92">
        <v>0</v>
      </c>
      <c r="N95" s="92">
        <v>0</v>
      </c>
      <c r="O95" s="92">
        <v>0</v>
      </c>
      <c r="P95" s="92">
        <v>0</v>
      </c>
      <c r="Q95" s="92">
        <v>0</v>
      </c>
      <c r="R95" s="92">
        <v>0</v>
      </c>
      <c r="S95" s="92">
        <v>0</v>
      </c>
      <c r="T95" s="92">
        <v>0</v>
      </c>
      <c r="U95" s="92">
        <v>0</v>
      </c>
      <c r="V95" s="92">
        <v>0</v>
      </c>
      <c r="W95" s="92">
        <v>0</v>
      </c>
      <c r="X95" s="92">
        <v>0</v>
      </c>
      <c r="Y95" s="92">
        <v>0</v>
      </c>
      <c r="Z95" s="92">
        <v>0</v>
      </c>
      <c r="AA95" s="92">
        <v>0</v>
      </c>
      <c r="AB95" s="92">
        <v>0</v>
      </c>
      <c r="AC95" s="92">
        <v>0</v>
      </c>
      <c r="AD95" s="92">
        <v>0</v>
      </c>
      <c r="AE95" s="92">
        <v>0</v>
      </c>
      <c r="AF95" s="92">
        <v>0</v>
      </c>
      <c r="AG95" s="92">
        <v>0</v>
      </c>
      <c r="AH95" s="92">
        <v>0</v>
      </c>
      <c r="AI95" s="92">
        <v>0</v>
      </c>
      <c r="AJ95" s="92">
        <v>0</v>
      </c>
      <c r="AK95" s="92">
        <v>0</v>
      </c>
      <c r="AL95" s="92">
        <v>0</v>
      </c>
      <c r="AM95" s="92">
        <v>0</v>
      </c>
      <c r="AN95" s="92">
        <v>0</v>
      </c>
      <c r="AO95" s="92">
        <v>0</v>
      </c>
      <c r="AP95" s="92">
        <v>0</v>
      </c>
      <c r="AQ95" s="92">
        <v>0</v>
      </c>
      <c r="AR95" s="92">
        <v>0</v>
      </c>
      <c r="AS95" s="92">
        <v>0</v>
      </c>
      <c r="AT95" s="92">
        <v>0</v>
      </c>
      <c r="AU95" s="92">
        <v>0</v>
      </c>
      <c r="AV95" s="92">
        <v>0</v>
      </c>
      <c r="AW95" s="92">
        <v>0</v>
      </c>
      <c r="AX95" s="92">
        <v>0</v>
      </c>
      <c r="AY95" s="92">
        <v>0</v>
      </c>
      <c r="AZ95" s="92">
        <v>0</v>
      </c>
      <c r="BA95" s="92">
        <v>0</v>
      </c>
      <c r="BB95" s="92">
        <v>0</v>
      </c>
      <c r="BC95" s="92">
        <v>0</v>
      </c>
      <c r="BD95" s="92">
        <v>0</v>
      </c>
      <c r="BE95" s="92">
        <v>0</v>
      </c>
      <c r="BF95" s="92">
        <v>0</v>
      </c>
      <c r="BG95" s="92">
        <v>0</v>
      </c>
      <c r="BH95" s="232" t="s">
        <v>274</v>
      </c>
      <c r="BI95" s="55" t="s">
        <v>166</v>
      </c>
      <c r="BJ95" s="232" t="s">
        <v>1039</v>
      </c>
      <c r="BK95" s="239" t="s">
        <v>120</v>
      </c>
      <c r="BL95" s="232" t="s">
        <v>202</v>
      </c>
      <c r="BM95" s="236" t="s">
        <v>206</v>
      </c>
    </row>
    <row r="96" spans="1:65" s="252" customFormat="1" ht="31.5" x14ac:dyDescent="0.25">
      <c r="A96" s="56" t="s">
        <v>280</v>
      </c>
      <c r="B96" s="43" t="s">
        <v>281</v>
      </c>
      <c r="C96" s="226"/>
      <c r="D96" s="44"/>
      <c r="E96" s="93">
        <f>SUM(E97)</f>
        <v>16.5</v>
      </c>
      <c r="F96" s="59">
        <f>SUM(F97)</f>
        <v>0</v>
      </c>
      <c r="G96" s="59">
        <f>SUM(G97)</f>
        <v>16.5</v>
      </c>
      <c r="H96" s="59">
        <f>SUM(H97)</f>
        <v>0</v>
      </c>
      <c r="I96" s="59">
        <f t="shared" ref="I96:BG96" si="31">SUM(I97)</f>
        <v>0</v>
      </c>
      <c r="J96" s="59">
        <f t="shared" si="31"/>
        <v>0</v>
      </c>
      <c r="K96" s="59">
        <f t="shared" si="31"/>
        <v>0.45</v>
      </c>
      <c r="L96" s="59">
        <f t="shared" si="31"/>
        <v>0.35</v>
      </c>
      <c r="M96" s="59">
        <f t="shared" si="31"/>
        <v>0</v>
      </c>
      <c r="N96" s="59">
        <f t="shared" si="31"/>
        <v>0</v>
      </c>
      <c r="O96" s="59">
        <f t="shared" si="31"/>
        <v>0</v>
      </c>
      <c r="P96" s="59">
        <f t="shared" si="31"/>
        <v>0</v>
      </c>
      <c r="Q96" s="59">
        <f t="shared" si="31"/>
        <v>0</v>
      </c>
      <c r="R96" s="59">
        <f t="shared" si="31"/>
        <v>0</v>
      </c>
      <c r="S96" s="59">
        <f t="shared" si="31"/>
        <v>0</v>
      </c>
      <c r="T96" s="59">
        <f t="shared" si="31"/>
        <v>0</v>
      </c>
      <c r="U96" s="71">
        <f t="shared" si="31"/>
        <v>0</v>
      </c>
      <c r="V96" s="59">
        <f t="shared" si="31"/>
        <v>0</v>
      </c>
      <c r="W96" s="59">
        <f t="shared" si="31"/>
        <v>0</v>
      </c>
      <c r="X96" s="59">
        <f t="shared" si="31"/>
        <v>0</v>
      </c>
      <c r="Y96" s="59">
        <f t="shared" si="31"/>
        <v>0</v>
      </c>
      <c r="Z96" s="59">
        <f t="shared" si="31"/>
        <v>0</v>
      </c>
      <c r="AA96" s="59">
        <f t="shared" si="31"/>
        <v>0</v>
      </c>
      <c r="AB96" s="59">
        <f t="shared" si="31"/>
        <v>0</v>
      </c>
      <c r="AC96" s="59">
        <f t="shared" si="31"/>
        <v>0</v>
      </c>
      <c r="AD96" s="59">
        <f t="shared" si="31"/>
        <v>0</v>
      </c>
      <c r="AE96" s="59">
        <f t="shared" si="31"/>
        <v>0</v>
      </c>
      <c r="AF96" s="59">
        <f t="shared" si="31"/>
        <v>0</v>
      </c>
      <c r="AG96" s="59">
        <f t="shared" si="31"/>
        <v>0</v>
      </c>
      <c r="AH96" s="59">
        <f t="shared" si="31"/>
        <v>0</v>
      </c>
      <c r="AI96" s="59">
        <f t="shared" si="31"/>
        <v>0</v>
      </c>
      <c r="AJ96" s="59">
        <f t="shared" si="31"/>
        <v>0</v>
      </c>
      <c r="AK96" s="59">
        <f t="shared" si="31"/>
        <v>0</v>
      </c>
      <c r="AL96" s="59">
        <f t="shared" si="31"/>
        <v>0</v>
      </c>
      <c r="AM96" s="59">
        <f t="shared" si="31"/>
        <v>0</v>
      </c>
      <c r="AN96" s="59">
        <f t="shared" si="31"/>
        <v>0</v>
      </c>
      <c r="AO96" s="59">
        <f t="shared" si="31"/>
        <v>0</v>
      </c>
      <c r="AP96" s="59">
        <f t="shared" si="31"/>
        <v>0</v>
      </c>
      <c r="AQ96" s="59">
        <f t="shared" si="31"/>
        <v>0</v>
      </c>
      <c r="AR96" s="59">
        <f t="shared" si="31"/>
        <v>0</v>
      </c>
      <c r="AS96" s="59">
        <f t="shared" si="31"/>
        <v>0</v>
      </c>
      <c r="AT96" s="59">
        <f t="shared" si="31"/>
        <v>0</v>
      </c>
      <c r="AU96" s="59">
        <f t="shared" si="31"/>
        <v>0</v>
      </c>
      <c r="AV96" s="59">
        <f t="shared" si="31"/>
        <v>0</v>
      </c>
      <c r="AW96" s="59">
        <f t="shared" si="31"/>
        <v>0</v>
      </c>
      <c r="AX96" s="59">
        <f t="shared" si="31"/>
        <v>0</v>
      </c>
      <c r="AY96" s="59">
        <f t="shared" si="31"/>
        <v>0</v>
      </c>
      <c r="AZ96" s="59">
        <f t="shared" si="31"/>
        <v>0</v>
      </c>
      <c r="BA96" s="59">
        <f t="shared" si="31"/>
        <v>0</v>
      </c>
      <c r="BB96" s="59">
        <f t="shared" si="31"/>
        <v>0</v>
      </c>
      <c r="BC96" s="59">
        <f t="shared" si="31"/>
        <v>0</v>
      </c>
      <c r="BD96" s="59">
        <f t="shared" si="31"/>
        <v>0</v>
      </c>
      <c r="BE96" s="59">
        <f t="shared" si="31"/>
        <v>0</v>
      </c>
      <c r="BF96" s="59">
        <f t="shared" si="31"/>
        <v>0</v>
      </c>
      <c r="BG96" s="59">
        <f t="shared" si="31"/>
        <v>15.7</v>
      </c>
      <c r="BH96" s="235"/>
      <c r="BI96" s="226"/>
      <c r="BJ96" s="226"/>
      <c r="BK96" s="241"/>
      <c r="BL96" s="218"/>
      <c r="BM96" s="218"/>
    </row>
    <row r="97" spans="1:65" s="252" customFormat="1" ht="47.25" x14ac:dyDescent="0.25">
      <c r="A97" s="215">
        <f>A82+1</f>
        <v>51</v>
      </c>
      <c r="B97" s="94" t="s">
        <v>282</v>
      </c>
      <c r="C97" s="55" t="s">
        <v>82</v>
      </c>
      <c r="D97" s="243" t="s">
        <v>33</v>
      </c>
      <c r="E97" s="28">
        <f>F97+G97</f>
        <v>16.5</v>
      </c>
      <c r="F97" s="28"/>
      <c r="G97" s="28">
        <f>SUM(H97:M97,Q97,U97,Y97:BG97)</f>
        <v>16.5</v>
      </c>
      <c r="H97" s="33"/>
      <c r="I97" s="51"/>
      <c r="J97" s="51"/>
      <c r="K97" s="60">
        <v>0.45</v>
      </c>
      <c r="L97" s="75">
        <v>0.35</v>
      </c>
      <c r="M97" s="235">
        <f>SUM(N97:P97)</f>
        <v>0</v>
      </c>
      <c r="N97" s="33"/>
      <c r="O97" s="33"/>
      <c r="P97" s="33"/>
      <c r="Q97" s="33">
        <f>R97+S97+T97</f>
        <v>0</v>
      </c>
      <c r="R97" s="33"/>
      <c r="S97" s="33"/>
      <c r="T97" s="33"/>
      <c r="U97" s="33">
        <f>SUM(V97:X97)</f>
        <v>0</v>
      </c>
      <c r="V97" s="75"/>
      <c r="W97" s="75"/>
      <c r="X97" s="75"/>
      <c r="Y97" s="235"/>
      <c r="Z97" s="235"/>
      <c r="AA97" s="235"/>
      <c r="AB97" s="235"/>
      <c r="AC97" s="235"/>
      <c r="AD97" s="235"/>
      <c r="AE97" s="235"/>
      <c r="AF97" s="7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60">
        <v>15.7</v>
      </c>
      <c r="BH97" s="63" t="s">
        <v>283</v>
      </c>
      <c r="BI97" s="55" t="s">
        <v>82</v>
      </c>
      <c r="BJ97" s="63" t="s">
        <v>284</v>
      </c>
      <c r="BK97" s="241" t="s">
        <v>68</v>
      </c>
      <c r="BL97" s="218" t="s">
        <v>285</v>
      </c>
      <c r="BM97" s="226" t="s">
        <v>1026</v>
      </c>
    </row>
    <row r="98" spans="1:65" s="252" customFormat="1" ht="34.5" customHeight="1" x14ac:dyDescent="0.25">
      <c r="A98" s="56" t="s">
        <v>286</v>
      </c>
      <c r="B98" s="43" t="s">
        <v>287</v>
      </c>
      <c r="C98" s="79"/>
      <c r="D98" s="44"/>
      <c r="E98" s="69">
        <f>SUM(F98:G98)</f>
        <v>58.389999999999986</v>
      </c>
      <c r="F98" s="46">
        <f>SUM(F99:F115)</f>
        <v>1</v>
      </c>
      <c r="G98" s="46">
        <f>SUM(G99:G117)</f>
        <v>57.389999999999986</v>
      </c>
      <c r="H98" s="46">
        <f>SUM(H99:H117)</f>
        <v>0.12</v>
      </c>
      <c r="I98" s="46">
        <f t="shared" ref="I98:BG98" si="32">SUM(I99:I117)</f>
        <v>0</v>
      </c>
      <c r="J98" s="46">
        <f t="shared" si="32"/>
        <v>0</v>
      </c>
      <c r="K98" s="46">
        <f t="shared" si="32"/>
        <v>0.02</v>
      </c>
      <c r="L98" s="46">
        <f t="shared" si="32"/>
        <v>0.7</v>
      </c>
      <c r="M98" s="46">
        <f t="shared" si="32"/>
        <v>0</v>
      </c>
      <c r="N98" s="46">
        <f t="shared" si="32"/>
        <v>0</v>
      </c>
      <c r="O98" s="46">
        <f t="shared" si="32"/>
        <v>0</v>
      </c>
      <c r="P98" s="46">
        <f t="shared" si="32"/>
        <v>0</v>
      </c>
      <c r="Q98" s="46">
        <f t="shared" si="32"/>
        <v>0</v>
      </c>
      <c r="R98" s="46">
        <f t="shared" si="32"/>
        <v>0</v>
      </c>
      <c r="S98" s="46">
        <f t="shared" si="32"/>
        <v>0</v>
      </c>
      <c r="T98" s="46">
        <f t="shared" si="32"/>
        <v>0</v>
      </c>
      <c r="U98" s="47">
        <f t="shared" si="32"/>
        <v>34.079999999999991</v>
      </c>
      <c r="V98" s="46">
        <f t="shared" si="32"/>
        <v>24.31</v>
      </c>
      <c r="W98" s="46">
        <f t="shared" si="32"/>
        <v>8.57</v>
      </c>
      <c r="X98" s="46">
        <f t="shared" si="32"/>
        <v>1.2</v>
      </c>
      <c r="Y98" s="46">
        <f t="shared" si="32"/>
        <v>0</v>
      </c>
      <c r="Z98" s="46">
        <f t="shared" si="32"/>
        <v>0</v>
      </c>
      <c r="AA98" s="46">
        <f t="shared" si="32"/>
        <v>0</v>
      </c>
      <c r="AB98" s="46">
        <f t="shared" si="32"/>
        <v>0</v>
      </c>
      <c r="AC98" s="46">
        <f t="shared" si="32"/>
        <v>0</v>
      </c>
      <c r="AD98" s="46">
        <f t="shared" si="32"/>
        <v>0</v>
      </c>
      <c r="AE98" s="46">
        <f t="shared" si="32"/>
        <v>0</v>
      </c>
      <c r="AF98" s="46">
        <f t="shared" si="32"/>
        <v>0.01</v>
      </c>
      <c r="AG98" s="46">
        <f t="shared" si="32"/>
        <v>0</v>
      </c>
      <c r="AH98" s="46">
        <f t="shared" si="32"/>
        <v>0</v>
      </c>
      <c r="AI98" s="46">
        <f t="shared" si="32"/>
        <v>0</v>
      </c>
      <c r="AJ98" s="46">
        <f t="shared" si="32"/>
        <v>0</v>
      </c>
      <c r="AK98" s="46">
        <f t="shared" si="32"/>
        <v>0</v>
      </c>
      <c r="AL98" s="46">
        <f t="shared" si="32"/>
        <v>0</v>
      </c>
      <c r="AM98" s="46">
        <f t="shared" si="32"/>
        <v>0</v>
      </c>
      <c r="AN98" s="46">
        <f t="shared" si="32"/>
        <v>0</v>
      </c>
      <c r="AO98" s="46">
        <f t="shared" si="32"/>
        <v>0</v>
      </c>
      <c r="AP98" s="46">
        <f t="shared" si="32"/>
        <v>0</v>
      </c>
      <c r="AQ98" s="46">
        <f t="shared" si="32"/>
        <v>0</v>
      </c>
      <c r="AR98" s="46">
        <f t="shared" si="32"/>
        <v>0</v>
      </c>
      <c r="AS98" s="46">
        <f t="shared" si="32"/>
        <v>0</v>
      </c>
      <c r="AT98" s="46">
        <f t="shared" si="32"/>
        <v>0</v>
      </c>
      <c r="AU98" s="46">
        <f t="shared" si="32"/>
        <v>0</v>
      </c>
      <c r="AV98" s="46">
        <f t="shared" si="32"/>
        <v>0</v>
      </c>
      <c r="AW98" s="46">
        <f t="shared" si="32"/>
        <v>0</v>
      </c>
      <c r="AX98" s="46">
        <f t="shared" si="32"/>
        <v>0</v>
      </c>
      <c r="AY98" s="46">
        <f t="shared" si="32"/>
        <v>0</v>
      </c>
      <c r="AZ98" s="46">
        <f t="shared" si="32"/>
        <v>0</v>
      </c>
      <c r="BA98" s="46">
        <f t="shared" si="32"/>
        <v>0</v>
      </c>
      <c r="BB98" s="46">
        <f t="shared" si="32"/>
        <v>0</v>
      </c>
      <c r="BC98" s="46">
        <f t="shared" si="32"/>
        <v>0</v>
      </c>
      <c r="BD98" s="46">
        <f t="shared" si="32"/>
        <v>3.76</v>
      </c>
      <c r="BE98" s="46">
        <f t="shared" si="32"/>
        <v>0</v>
      </c>
      <c r="BF98" s="46">
        <f t="shared" si="32"/>
        <v>0</v>
      </c>
      <c r="BG98" s="46">
        <f t="shared" si="32"/>
        <v>18.7</v>
      </c>
      <c r="BH98" s="235"/>
      <c r="BI98" s="79"/>
      <c r="BJ98" s="79"/>
      <c r="BK98" s="25"/>
      <c r="BL98" s="218"/>
      <c r="BM98" s="236"/>
    </row>
    <row r="99" spans="1:65" s="256" customFormat="1" ht="31.5" x14ac:dyDescent="0.25">
      <c r="A99" s="245">
        <f>A97+1</f>
        <v>52</v>
      </c>
      <c r="B99" s="221" t="s">
        <v>1097</v>
      </c>
      <c r="C99" s="218" t="s">
        <v>288</v>
      </c>
      <c r="D99" s="218" t="s">
        <v>53</v>
      </c>
      <c r="E99" s="95">
        <f t="shared" ref="E99:E138" si="33">F99+G99</f>
        <v>1.25</v>
      </c>
      <c r="F99" s="95"/>
      <c r="G99" s="95">
        <f t="shared" ref="G99:G116" si="34">SUM(H99:M99,Q99,U99,Y99:BG99)</f>
        <v>1.25</v>
      </c>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v>1.25</v>
      </c>
      <c r="BE99" s="218"/>
      <c r="BF99" s="218"/>
      <c r="BG99" s="218"/>
      <c r="BH99" s="232" t="s">
        <v>957</v>
      </c>
      <c r="BI99" s="218" t="s">
        <v>288</v>
      </c>
      <c r="BJ99" s="218" t="s">
        <v>289</v>
      </c>
      <c r="BK99" s="218" t="s">
        <v>120</v>
      </c>
      <c r="BL99" s="218" t="s">
        <v>290</v>
      </c>
      <c r="BM99" s="226" t="s">
        <v>1026</v>
      </c>
    </row>
    <row r="100" spans="1:65" s="252" customFormat="1" ht="38.25" customHeight="1" x14ac:dyDescent="0.25">
      <c r="A100" s="215">
        <f t="shared" ref="A100:A107" si="35">A99+1</f>
        <v>53</v>
      </c>
      <c r="B100" s="221" t="s">
        <v>291</v>
      </c>
      <c r="C100" s="218" t="s">
        <v>138</v>
      </c>
      <c r="D100" s="218" t="s">
        <v>53</v>
      </c>
      <c r="E100" s="95">
        <f t="shared" si="33"/>
        <v>5</v>
      </c>
      <c r="F100" s="95"/>
      <c r="G100" s="95">
        <f t="shared" si="34"/>
        <v>5</v>
      </c>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96">
        <v>5</v>
      </c>
      <c r="BH100" s="218" t="s">
        <v>292</v>
      </c>
      <c r="BI100" s="218" t="s">
        <v>138</v>
      </c>
      <c r="BJ100" s="218" t="s">
        <v>293</v>
      </c>
      <c r="BK100" s="218" t="s">
        <v>120</v>
      </c>
      <c r="BL100" s="218" t="s">
        <v>294</v>
      </c>
      <c r="BM100" s="226" t="s">
        <v>1026</v>
      </c>
    </row>
    <row r="101" spans="1:65" s="256" customFormat="1" ht="38.25" customHeight="1" x14ac:dyDescent="0.25">
      <c r="A101" s="215">
        <f t="shared" si="35"/>
        <v>54</v>
      </c>
      <c r="B101" s="221" t="s">
        <v>295</v>
      </c>
      <c r="C101" s="218" t="s">
        <v>142</v>
      </c>
      <c r="D101" s="218" t="s">
        <v>53</v>
      </c>
      <c r="E101" s="95">
        <f t="shared" si="33"/>
        <v>1</v>
      </c>
      <c r="F101" s="95"/>
      <c r="G101" s="95">
        <f t="shared" si="34"/>
        <v>1</v>
      </c>
      <c r="H101" s="218">
        <v>0.12</v>
      </c>
      <c r="I101" s="218"/>
      <c r="J101" s="218"/>
      <c r="K101" s="218">
        <v>0.02</v>
      </c>
      <c r="L101" s="238"/>
      <c r="M101" s="238">
        <f>SUM(N101:P101)</f>
        <v>0</v>
      </c>
      <c r="N101" s="238"/>
      <c r="O101" s="238"/>
      <c r="P101" s="238"/>
      <c r="Q101" s="238"/>
      <c r="R101" s="238"/>
      <c r="S101" s="238"/>
      <c r="T101" s="238"/>
      <c r="U101" s="238">
        <f>SUM(V101:X101)</f>
        <v>0.85</v>
      </c>
      <c r="V101" s="238">
        <v>0.85</v>
      </c>
      <c r="W101" s="218"/>
      <c r="X101" s="218"/>
      <c r="Y101" s="218"/>
      <c r="Z101" s="218"/>
      <c r="AA101" s="218"/>
      <c r="AB101" s="218"/>
      <c r="AC101" s="218"/>
      <c r="AD101" s="218"/>
      <c r="AE101" s="218"/>
      <c r="AF101" s="218">
        <v>0.01</v>
      </c>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t="s">
        <v>296</v>
      </c>
      <c r="BI101" s="218" t="s">
        <v>142</v>
      </c>
      <c r="BJ101" s="218" t="s">
        <v>297</v>
      </c>
      <c r="BK101" s="218" t="s">
        <v>120</v>
      </c>
      <c r="BL101" s="218" t="s">
        <v>290</v>
      </c>
      <c r="BM101" s="226" t="s">
        <v>1026</v>
      </c>
    </row>
    <row r="102" spans="1:65" s="252" customFormat="1" ht="36" customHeight="1" x14ac:dyDescent="0.25">
      <c r="A102" s="215">
        <f t="shared" si="35"/>
        <v>55</v>
      </c>
      <c r="B102" s="237" t="s">
        <v>298</v>
      </c>
      <c r="C102" s="226" t="s">
        <v>79</v>
      </c>
      <c r="D102" s="218" t="s">
        <v>53</v>
      </c>
      <c r="E102" s="20">
        <f t="shared" si="33"/>
        <v>4</v>
      </c>
      <c r="F102" s="21"/>
      <c r="G102" s="28">
        <f t="shared" si="34"/>
        <v>4</v>
      </c>
      <c r="H102" s="238"/>
      <c r="I102" s="238"/>
      <c r="J102" s="238"/>
      <c r="K102" s="238"/>
      <c r="L102" s="238"/>
      <c r="M102" s="238">
        <f>SUM(N102:P102)</f>
        <v>0</v>
      </c>
      <c r="N102" s="238"/>
      <c r="O102" s="238"/>
      <c r="P102" s="238"/>
      <c r="Q102" s="238"/>
      <c r="R102" s="238"/>
      <c r="S102" s="238"/>
      <c r="T102" s="238"/>
      <c r="U102" s="238">
        <f>SUM(V102:X102)</f>
        <v>4</v>
      </c>
      <c r="V102" s="238">
        <v>1.3</v>
      </c>
      <c r="W102" s="238">
        <v>1.5</v>
      </c>
      <c r="X102" s="238">
        <v>1.2</v>
      </c>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8"/>
      <c r="BA102" s="238"/>
      <c r="BB102" s="238"/>
      <c r="BC102" s="238"/>
      <c r="BD102" s="238"/>
      <c r="BE102" s="238"/>
      <c r="BF102" s="238"/>
      <c r="BG102" s="238"/>
      <c r="BH102" s="232" t="s">
        <v>299</v>
      </c>
      <c r="BI102" s="226" t="s">
        <v>79</v>
      </c>
      <c r="BJ102" s="226" t="s">
        <v>300</v>
      </c>
      <c r="BK102" s="218" t="s">
        <v>120</v>
      </c>
      <c r="BL102" s="218" t="s">
        <v>290</v>
      </c>
      <c r="BM102" s="226" t="s">
        <v>1026</v>
      </c>
    </row>
    <row r="103" spans="1:65" s="252" customFormat="1" ht="36" customHeight="1" x14ac:dyDescent="0.25">
      <c r="A103" s="215">
        <f t="shared" si="35"/>
        <v>56</v>
      </c>
      <c r="B103" s="94" t="s">
        <v>301</v>
      </c>
      <c r="C103" s="55" t="s">
        <v>82</v>
      </c>
      <c r="D103" s="218" t="s">
        <v>53</v>
      </c>
      <c r="E103" s="20">
        <f t="shared" si="33"/>
        <v>4</v>
      </c>
      <c r="F103" s="28"/>
      <c r="G103" s="28">
        <f t="shared" si="34"/>
        <v>4</v>
      </c>
      <c r="H103" s="238"/>
      <c r="I103" s="238"/>
      <c r="J103" s="238"/>
      <c r="K103" s="238"/>
      <c r="L103" s="238"/>
      <c r="M103" s="238">
        <f>SUM(N103:P103)</f>
        <v>0</v>
      </c>
      <c r="N103" s="238"/>
      <c r="O103" s="238"/>
      <c r="P103" s="238"/>
      <c r="Q103" s="238">
        <f>R103+S103+T103</f>
        <v>0</v>
      </c>
      <c r="R103" s="238"/>
      <c r="S103" s="238"/>
      <c r="T103" s="238"/>
      <c r="U103" s="238">
        <f>SUM(V103:X103)</f>
        <v>0</v>
      </c>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8"/>
      <c r="BA103" s="238"/>
      <c r="BB103" s="238"/>
      <c r="BC103" s="238"/>
      <c r="BD103" s="238"/>
      <c r="BE103" s="238"/>
      <c r="BF103" s="238"/>
      <c r="BG103" s="238">
        <v>4</v>
      </c>
      <c r="BH103" s="219" t="s">
        <v>1005</v>
      </c>
      <c r="BI103" s="55" t="s">
        <v>82</v>
      </c>
      <c r="BJ103" s="232" t="s">
        <v>302</v>
      </c>
      <c r="BK103" s="241" t="s">
        <v>398</v>
      </c>
      <c r="BL103" s="218" t="s">
        <v>290</v>
      </c>
      <c r="BM103" s="226" t="s">
        <v>1026</v>
      </c>
    </row>
    <row r="104" spans="1:65" s="252" customFormat="1" ht="36" customHeight="1" x14ac:dyDescent="0.25">
      <c r="A104" s="215">
        <f t="shared" si="35"/>
        <v>57</v>
      </c>
      <c r="B104" s="237" t="s">
        <v>303</v>
      </c>
      <c r="C104" s="226" t="s">
        <v>134</v>
      </c>
      <c r="D104" s="218" t="s">
        <v>53</v>
      </c>
      <c r="E104" s="20">
        <f t="shared" si="33"/>
        <v>9.4</v>
      </c>
      <c r="F104" s="21"/>
      <c r="G104" s="28">
        <f t="shared" si="34"/>
        <v>9.4</v>
      </c>
      <c r="H104" s="238"/>
      <c r="I104" s="238"/>
      <c r="J104" s="238"/>
      <c r="K104" s="238"/>
      <c r="L104" s="238"/>
      <c r="M104" s="238">
        <f>SUM(N104:P104)</f>
        <v>0</v>
      </c>
      <c r="N104" s="238"/>
      <c r="O104" s="238"/>
      <c r="P104" s="238"/>
      <c r="Q104" s="238"/>
      <c r="R104" s="238"/>
      <c r="S104" s="238"/>
      <c r="T104" s="238"/>
      <c r="U104" s="238">
        <f>SUM(V104:X104)</f>
        <v>5</v>
      </c>
      <c r="V104" s="238">
        <v>5</v>
      </c>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v>4.4000000000000004</v>
      </c>
      <c r="BH104" s="232" t="s">
        <v>277</v>
      </c>
      <c r="BI104" s="226" t="s">
        <v>134</v>
      </c>
      <c r="BJ104" s="236" t="s">
        <v>304</v>
      </c>
      <c r="BK104" s="218" t="s">
        <v>120</v>
      </c>
      <c r="BL104" s="218" t="s">
        <v>290</v>
      </c>
      <c r="BM104" s="226" t="s">
        <v>1026</v>
      </c>
    </row>
    <row r="105" spans="1:65" s="252" customFormat="1" ht="49.5" customHeight="1" x14ac:dyDescent="0.25">
      <c r="A105" s="215">
        <f t="shared" si="35"/>
        <v>58</v>
      </c>
      <c r="B105" s="237" t="s">
        <v>305</v>
      </c>
      <c r="C105" s="226" t="s">
        <v>95</v>
      </c>
      <c r="D105" s="218" t="s">
        <v>53</v>
      </c>
      <c r="E105" s="20">
        <f t="shared" si="33"/>
        <v>2.5099999999999998</v>
      </c>
      <c r="F105" s="21"/>
      <c r="G105" s="28">
        <f t="shared" si="34"/>
        <v>2.5099999999999998</v>
      </c>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v>2.5099999999999998</v>
      </c>
      <c r="BE105" s="238"/>
      <c r="BF105" s="238"/>
      <c r="BG105" s="238"/>
      <c r="BH105" s="232" t="s">
        <v>306</v>
      </c>
      <c r="BI105" s="226" t="s">
        <v>95</v>
      </c>
      <c r="BJ105" s="236" t="s">
        <v>307</v>
      </c>
      <c r="BK105" s="218" t="s">
        <v>120</v>
      </c>
      <c r="BL105" s="218" t="s">
        <v>1125</v>
      </c>
      <c r="BM105" s="226" t="s">
        <v>206</v>
      </c>
    </row>
    <row r="106" spans="1:65" s="252" customFormat="1" ht="49.5" customHeight="1" x14ac:dyDescent="0.25">
      <c r="A106" s="215">
        <f t="shared" si="35"/>
        <v>59</v>
      </c>
      <c r="B106" s="97" t="s">
        <v>308</v>
      </c>
      <c r="C106" s="226" t="s">
        <v>154</v>
      </c>
      <c r="D106" s="218" t="s">
        <v>53</v>
      </c>
      <c r="E106" s="20">
        <f t="shared" si="33"/>
        <v>7</v>
      </c>
      <c r="F106" s="27">
        <v>1</v>
      </c>
      <c r="G106" s="28">
        <f t="shared" si="34"/>
        <v>6</v>
      </c>
      <c r="H106" s="30"/>
      <c r="I106" s="30"/>
      <c r="J106" s="30"/>
      <c r="K106" s="30"/>
      <c r="L106" s="30">
        <v>0.7</v>
      </c>
      <c r="M106" s="30">
        <f>SUM(N106:P106)</f>
        <v>0</v>
      </c>
      <c r="N106" s="30"/>
      <c r="O106" s="30"/>
      <c r="P106" s="30"/>
      <c r="Q106" s="30"/>
      <c r="R106" s="30"/>
      <c r="S106" s="30"/>
      <c r="T106" s="30"/>
      <c r="U106" s="222">
        <f t="shared" ref="U106:U117" si="36">SUM(V106:X106)</f>
        <v>0</v>
      </c>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v>5.3</v>
      </c>
      <c r="BH106" s="235" t="s">
        <v>245</v>
      </c>
      <c r="BI106" s="226" t="s">
        <v>154</v>
      </c>
      <c r="BJ106" s="226" t="s">
        <v>309</v>
      </c>
      <c r="BK106" s="220" t="s">
        <v>68</v>
      </c>
      <c r="BL106" s="218" t="s">
        <v>294</v>
      </c>
      <c r="BM106" s="226" t="s">
        <v>1026</v>
      </c>
    </row>
    <row r="107" spans="1:65" s="334" customFormat="1" ht="31.5" x14ac:dyDescent="0.25">
      <c r="A107" s="425">
        <f t="shared" si="35"/>
        <v>60</v>
      </c>
      <c r="B107" s="472" t="s">
        <v>310</v>
      </c>
      <c r="C107" s="399" t="s">
        <v>65</v>
      </c>
      <c r="D107" s="405" t="s">
        <v>53</v>
      </c>
      <c r="E107" s="265">
        <f t="shared" si="33"/>
        <v>1</v>
      </c>
      <c r="F107" s="392"/>
      <c r="G107" s="267">
        <f t="shared" si="34"/>
        <v>1</v>
      </c>
      <c r="H107" s="311"/>
      <c r="I107" s="311"/>
      <c r="J107" s="311"/>
      <c r="K107" s="311"/>
      <c r="L107" s="311"/>
      <c r="M107" s="311"/>
      <c r="N107" s="311"/>
      <c r="O107" s="311"/>
      <c r="P107" s="311"/>
      <c r="Q107" s="311"/>
      <c r="R107" s="311"/>
      <c r="S107" s="311"/>
      <c r="T107" s="311"/>
      <c r="U107" s="287">
        <f t="shared" si="36"/>
        <v>1</v>
      </c>
      <c r="V107" s="311">
        <v>1</v>
      </c>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311"/>
      <c r="AX107" s="311"/>
      <c r="AY107" s="311"/>
      <c r="AZ107" s="311"/>
      <c r="BA107" s="311"/>
      <c r="BB107" s="311"/>
      <c r="BC107" s="311"/>
      <c r="BD107" s="311"/>
      <c r="BE107" s="311"/>
      <c r="BF107" s="311"/>
      <c r="BG107" s="311"/>
      <c r="BH107" s="404" t="s">
        <v>311</v>
      </c>
      <c r="BI107" s="399" t="s">
        <v>65</v>
      </c>
      <c r="BJ107" s="399" t="s">
        <v>312</v>
      </c>
      <c r="BK107" s="313" t="s">
        <v>398</v>
      </c>
      <c r="BL107" s="405" t="s">
        <v>1013</v>
      </c>
      <c r="BM107" s="399" t="s">
        <v>206</v>
      </c>
    </row>
    <row r="108" spans="1:65" s="334" customFormat="1" ht="31.5" x14ac:dyDescent="0.25">
      <c r="A108" s="425"/>
      <c r="B108" s="472"/>
      <c r="C108" s="405" t="s">
        <v>142</v>
      </c>
      <c r="D108" s="405" t="s">
        <v>53</v>
      </c>
      <c r="E108" s="265">
        <f t="shared" si="33"/>
        <v>2.2999999999999998</v>
      </c>
      <c r="F108" s="392"/>
      <c r="G108" s="267">
        <f t="shared" si="34"/>
        <v>2.2999999999999998</v>
      </c>
      <c r="H108" s="311">
        <v>0</v>
      </c>
      <c r="I108" s="311">
        <v>0</v>
      </c>
      <c r="J108" s="311">
        <v>0</v>
      </c>
      <c r="K108" s="311">
        <v>0</v>
      </c>
      <c r="L108" s="311">
        <v>0</v>
      </c>
      <c r="M108" s="311">
        <v>0</v>
      </c>
      <c r="N108" s="311">
        <v>0</v>
      </c>
      <c r="O108" s="311">
        <v>0</v>
      </c>
      <c r="P108" s="311">
        <v>0</v>
      </c>
      <c r="Q108" s="311">
        <v>0</v>
      </c>
      <c r="R108" s="311">
        <v>0</v>
      </c>
      <c r="S108" s="311">
        <v>0</v>
      </c>
      <c r="T108" s="311">
        <v>0</v>
      </c>
      <c r="U108" s="287">
        <v>2.2999999999999998</v>
      </c>
      <c r="V108" s="311">
        <v>2.2999999999999998</v>
      </c>
      <c r="W108" s="311">
        <v>0</v>
      </c>
      <c r="X108" s="311">
        <v>0</v>
      </c>
      <c r="Y108" s="311">
        <v>0</v>
      </c>
      <c r="Z108" s="311">
        <v>0</v>
      </c>
      <c r="AA108" s="311">
        <v>0</v>
      </c>
      <c r="AB108" s="311">
        <v>0</v>
      </c>
      <c r="AC108" s="311">
        <v>0</v>
      </c>
      <c r="AD108" s="311">
        <v>0</v>
      </c>
      <c r="AE108" s="311">
        <v>0</v>
      </c>
      <c r="AF108" s="311">
        <v>0</v>
      </c>
      <c r="AG108" s="311">
        <v>0</v>
      </c>
      <c r="AH108" s="311">
        <v>0</v>
      </c>
      <c r="AI108" s="311">
        <v>0</v>
      </c>
      <c r="AJ108" s="311">
        <v>0</v>
      </c>
      <c r="AK108" s="311">
        <v>0</v>
      </c>
      <c r="AL108" s="311">
        <v>0</v>
      </c>
      <c r="AM108" s="311">
        <v>0</v>
      </c>
      <c r="AN108" s="311">
        <v>0</v>
      </c>
      <c r="AO108" s="311">
        <v>0</v>
      </c>
      <c r="AP108" s="311">
        <v>0</v>
      </c>
      <c r="AQ108" s="311">
        <v>0</v>
      </c>
      <c r="AR108" s="311">
        <v>0</v>
      </c>
      <c r="AS108" s="311">
        <v>0</v>
      </c>
      <c r="AT108" s="311">
        <v>0</v>
      </c>
      <c r="AU108" s="311">
        <v>0</v>
      </c>
      <c r="AV108" s="311">
        <v>0</v>
      </c>
      <c r="AW108" s="311">
        <v>0</v>
      </c>
      <c r="AX108" s="311">
        <v>0</v>
      </c>
      <c r="AY108" s="311">
        <v>0</v>
      </c>
      <c r="AZ108" s="311">
        <v>0</v>
      </c>
      <c r="BA108" s="311">
        <v>0</v>
      </c>
      <c r="BB108" s="311">
        <v>0</v>
      </c>
      <c r="BC108" s="311">
        <v>0</v>
      </c>
      <c r="BD108" s="311">
        <v>0</v>
      </c>
      <c r="BE108" s="311">
        <v>0</v>
      </c>
      <c r="BF108" s="311">
        <v>0</v>
      </c>
      <c r="BG108" s="311">
        <v>0</v>
      </c>
      <c r="BH108" s="405" t="s">
        <v>313</v>
      </c>
      <c r="BI108" s="405" t="s">
        <v>142</v>
      </c>
      <c r="BJ108" s="405" t="s">
        <v>314</v>
      </c>
      <c r="BK108" s="403" t="s">
        <v>68</v>
      </c>
      <c r="BL108" s="405" t="s">
        <v>294</v>
      </c>
      <c r="BM108" s="399" t="s">
        <v>1026</v>
      </c>
    </row>
    <row r="109" spans="1:65" s="334" customFormat="1" ht="31.5" x14ac:dyDescent="0.25">
      <c r="A109" s="425"/>
      <c r="B109" s="472"/>
      <c r="C109" s="399" t="s">
        <v>91</v>
      </c>
      <c r="D109" s="405" t="s">
        <v>53</v>
      </c>
      <c r="E109" s="265">
        <f t="shared" si="33"/>
        <v>2</v>
      </c>
      <c r="F109" s="266"/>
      <c r="G109" s="267">
        <f t="shared" si="34"/>
        <v>2</v>
      </c>
      <c r="H109" s="473"/>
      <c r="I109" s="474"/>
      <c r="J109" s="474"/>
      <c r="K109" s="404"/>
      <c r="L109" s="473"/>
      <c r="M109" s="401"/>
      <c r="N109" s="475"/>
      <c r="O109" s="475"/>
      <c r="P109" s="475"/>
      <c r="Q109" s="401"/>
      <c r="R109" s="404"/>
      <c r="S109" s="404"/>
      <c r="T109" s="404"/>
      <c r="U109" s="401">
        <f t="shared" si="36"/>
        <v>2</v>
      </c>
      <c r="V109" s="473">
        <v>2</v>
      </c>
      <c r="W109" s="473"/>
      <c r="X109" s="473"/>
      <c r="Y109" s="404"/>
      <c r="Z109" s="404"/>
      <c r="AA109" s="404"/>
      <c r="AB109" s="404"/>
      <c r="AC109" s="404"/>
      <c r="AD109" s="404"/>
      <c r="AE109" s="404"/>
      <c r="AF109" s="404"/>
      <c r="AG109" s="404"/>
      <c r="AH109" s="404"/>
      <c r="AI109" s="404"/>
      <c r="AJ109" s="404"/>
      <c r="AK109" s="474"/>
      <c r="AL109" s="404"/>
      <c r="AM109" s="404"/>
      <c r="AN109" s="404"/>
      <c r="AO109" s="404"/>
      <c r="AP109" s="404"/>
      <c r="AQ109" s="404"/>
      <c r="AR109" s="404"/>
      <c r="AS109" s="404"/>
      <c r="AT109" s="404"/>
      <c r="AU109" s="404"/>
      <c r="AV109" s="404"/>
      <c r="AW109" s="404"/>
      <c r="AX109" s="404"/>
      <c r="AY109" s="404"/>
      <c r="AZ109" s="404"/>
      <c r="BA109" s="404"/>
      <c r="BB109" s="404"/>
      <c r="BC109" s="404"/>
      <c r="BD109" s="404"/>
      <c r="BE109" s="404"/>
      <c r="BF109" s="404"/>
      <c r="BG109" s="404"/>
      <c r="BH109" s="400" t="s">
        <v>315</v>
      </c>
      <c r="BI109" s="399" t="s">
        <v>91</v>
      </c>
      <c r="BJ109" s="399" t="s">
        <v>316</v>
      </c>
      <c r="BK109" s="403" t="s">
        <v>398</v>
      </c>
      <c r="BL109" s="405" t="s">
        <v>202</v>
      </c>
      <c r="BM109" s="399" t="s">
        <v>1026</v>
      </c>
    </row>
    <row r="110" spans="1:65" s="334" customFormat="1" ht="31.5" x14ac:dyDescent="0.25">
      <c r="A110" s="425"/>
      <c r="B110" s="472"/>
      <c r="C110" s="399" t="s">
        <v>95</v>
      </c>
      <c r="D110" s="405" t="s">
        <v>53</v>
      </c>
      <c r="E110" s="265">
        <f t="shared" si="33"/>
        <v>2.5799999999999996</v>
      </c>
      <c r="F110" s="266"/>
      <c r="G110" s="267">
        <f t="shared" si="34"/>
        <v>2.5799999999999996</v>
      </c>
      <c r="H110" s="401"/>
      <c r="I110" s="401"/>
      <c r="J110" s="401"/>
      <c r="K110" s="401"/>
      <c r="L110" s="401"/>
      <c r="M110" s="401">
        <f>SUM(N110:P110)</f>
        <v>0</v>
      </c>
      <c r="N110" s="401"/>
      <c r="O110" s="401"/>
      <c r="P110" s="401"/>
      <c r="Q110" s="401"/>
      <c r="R110" s="401"/>
      <c r="S110" s="401"/>
      <c r="T110" s="401"/>
      <c r="U110" s="401">
        <f t="shared" si="36"/>
        <v>2.5799999999999996</v>
      </c>
      <c r="V110" s="401">
        <f>2.78-0.2</f>
        <v>2.5799999999999996</v>
      </c>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1"/>
      <c r="BB110" s="401"/>
      <c r="BC110" s="401"/>
      <c r="BD110" s="401"/>
      <c r="BE110" s="401"/>
      <c r="BF110" s="401"/>
      <c r="BG110" s="401"/>
      <c r="BH110" s="400" t="s">
        <v>317</v>
      </c>
      <c r="BI110" s="399" t="s">
        <v>95</v>
      </c>
      <c r="BJ110" s="399" t="s">
        <v>318</v>
      </c>
      <c r="BK110" s="403" t="s">
        <v>398</v>
      </c>
      <c r="BL110" s="405" t="s">
        <v>294</v>
      </c>
      <c r="BM110" s="399" t="s">
        <v>1026</v>
      </c>
    </row>
    <row r="111" spans="1:65" s="334" customFormat="1" ht="47.25" x14ac:dyDescent="0.25">
      <c r="A111" s="425"/>
      <c r="B111" s="472"/>
      <c r="C111" s="476" t="s">
        <v>138</v>
      </c>
      <c r="D111" s="405" t="s">
        <v>53</v>
      </c>
      <c r="E111" s="265">
        <f t="shared" si="33"/>
        <v>0.5</v>
      </c>
      <c r="F111" s="266"/>
      <c r="G111" s="267">
        <f t="shared" si="34"/>
        <v>0.5</v>
      </c>
      <c r="H111" s="401"/>
      <c r="I111" s="401"/>
      <c r="J111" s="401"/>
      <c r="K111" s="401"/>
      <c r="L111" s="401"/>
      <c r="M111" s="401"/>
      <c r="N111" s="401"/>
      <c r="O111" s="401"/>
      <c r="P111" s="401"/>
      <c r="Q111" s="401"/>
      <c r="R111" s="401"/>
      <c r="S111" s="401"/>
      <c r="T111" s="401"/>
      <c r="U111" s="401">
        <f t="shared" si="36"/>
        <v>0.5</v>
      </c>
      <c r="V111" s="401">
        <v>0.5</v>
      </c>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1"/>
      <c r="AY111" s="401"/>
      <c r="AZ111" s="401"/>
      <c r="BA111" s="401"/>
      <c r="BB111" s="401"/>
      <c r="BC111" s="401"/>
      <c r="BD111" s="401"/>
      <c r="BE111" s="401"/>
      <c r="BF111" s="401"/>
      <c r="BG111" s="401"/>
      <c r="BH111" s="404" t="s">
        <v>258</v>
      </c>
      <c r="BI111" s="476" t="s">
        <v>138</v>
      </c>
      <c r="BJ111" s="399" t="s">
        <v>319</v>
      </c>
      <c r="BK111" s="403" t="s">
        <v>398</v>
      </c>
      <c r="BL111" s="405" t="s">
        <v>320</v>
      </c>
      <c r="BM111" s="399" t="s">
        <v>1026</v>
      </c>
    </row>
    <row r="112" spans="1:65" s="334" customFormat="1" ht="31.5" x14ac:dyDescent="0.25">
      <c r="A112" s="425"/>
      <c r="B112" s="472"/>
      <c r="C112" s="406" t="s">
        <v>82</v>
      </c>
      <c r="D112" s="405" t="s">
        <v>53</v>
      </c>
      <c r="E112" s="265">
        <f t="shared" si="33"/>
        <v>1.8</v>
      </c>
      <c r="F112" s="267"/>
      <c r="G112" s="267">
        <f t="shared" si="34"/>
        <v>1.8</v>
      </c>
      <c r="H112" s="401"/>
      <c r="I112" s="401"/>
      <c r="J112" s="401"/>
      <c r="K112" s="401"/>
      <c r="L112" s="401"/>
      <c r="M112" s="401"/>
      <c r="N112" s="401"/>
      <c r="O112" s="401"/>
      <c r="P112" s="401"/>
      <c r="Q112" s="401"/>
      <c r="R112" s="401"/>
      <c r="S112" s="401"/>
      <c r="T112" s="401"/>
      <c r="U112" s="401">
        <f t="shared" si="36"/>
        <v>1.8</v>
      </c>
      <c r="V112" s="401">
        <f>2-0.2</f>
        <v>1.8</v>
      </c>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1"/>
      <c r="AZ112" s="401"/>
      <c r="BA112" s="401"/>
      <c r="BB112" s="401"/>
      <c r="BC112" s="401"/>
      <c r="BD112" s="401"/>
      <c r="BE112" s="401"/>
      <c r="BF112" s="401"/>
      <c r="BG112" s="401"/>
      <c r="BH112" s="398" t="s">
        <v>1006</v>
      </c>
      <c r="BI112" s="406" t="s">
        <v>82</v>
      </c>
      <c r="BJ112" s="400" t="s">
        <v>321</v>
      </c>
      <c r="BK112" s="402" t="s">
        <v>68</v>
      </c>
      <c r="BL112" s="405" t="s">
        <v>202</v>
      </c>
      <c r="BM112" s="399" t="s">
        <v>1026</v>
      </c>
    </row>
    <row r="113" spans="1:65" s="334" customFormat="1" ht="47.25" x14ac:dyDescent="0.25">
      <c r="A113" s="425"/>
      <c r="B113" s="472"/>
      <c r="C113" s="399" t="s">
        <v>122</v>
      </c>
      <c r="D113" s="405" t="s">
        <v>53</v>
      </c>
      <c r="E113" s="265">
        <f t="shared" si="33"/>
        <v>8.7899999999999991</v>
      </c>
      <c r="F113" s="265"/>
      <c r="G113" s="267">
        <f t="shared" si="34"/>
        <v>8.7899999999999991</v>
      </c>
      <c r="H113" s="401">
        <v>0</v>
      </c>
      <c r="I113" s="401">
        <v>0</v>
      </c>
      <c r="J113" s="401">
        <v>0</v>
      </c>
      <c r="K113" s="401">
        <v>0</v>
      </c>
      <c r="L113" s="401">
        <v>0</v>
      </c>
      <c r="M113" s="401">
        <v>0</v>
      </c>
      <c r="N113" s="401">
        <v>0</v>
      </c>
      <c r="O113" s="401">
        <v>0</v>
      </c>
      <c r="P113" s="401">
        <v>0</v>
      </c>
      <c r="Q113" s="401">
        <v>0</v>
      </c>
      <c r="R113" s="401">
        <v>0</v>
      </c>
      <c r="S113" s="401">
        <v>0</v>
      </c>
      <c r="T113" s="401">
        <v>0</v>
      </c>
      <c r="U113" s="401">
        <v>8.7899999999999991</v>
      </c>
      <c r="V113" s="401">
        <v>1.72</v>
      </c>
      <c r="W113" s="401">
        <v>7.07</v>
      </c>
      <c r="X113" s="401">
        <v>0</v>
      </c>
      <c r="Y113" s="401">
        <v>0</v>
      </c>
      <c r="Z113" s="401">
        <v>0</v>
      </c>
      <c r="AA113" s="401">
        <v>0</v>
      </c>
      <c r="AB113" s="401">
        <v>0</v>
      </c>
      <c r="AC113" s="401">
        <v>0</v>
      </c>
      <c r="AD113" s="401">
        <v>0</v>
      </c>
      <c r="AE113" s="401">
        <v>0</v>
      </c>
      <c r="AF113" s="401">
        <v>0</v>
      </c>
      <c r="AG113" s="401">
        <v>0</v>
      </c>
      <c r="AH113" s="401">
        <v>0</v>
      </c>
      <c r="AI113" s="401">
        <v>0</v>
      </c>
      <c r="AJ113" s="401">
        <v>0</v>
      </c>
      <c r="AK113" s="401">
        <v>0</v>
      </c>
      <c r="AL113" s="401">
        <v>0</v>
      </c>
      <c r="AM113" s="401">
        <v>0</v>
      </c>
      <c r="AN113" s="401">
        <v>0</v>
      </c>
      <c r="AO113" s="401">
        <v>0</v>
      </c>
      <c r="AP113" s="401">
        <v>0</v>
      </c>
      <c r="AQ113" s="401">
        <v>0</v>
      </c>
      <c r="AR113" s="401">
        <v>0</v>
      </c>
      <c r="AS113" s="401">
        <v>0</v>
      </c>
      <c r="AT113" s="401">
        <v>0</v>
      </c>
      <c r="AU113" s="401">
        <v>0</v>
      </c>
      <c r="AV113" s="401">
        <v>0</v>
      </c>
      <c r="AW113" s="401">
        <v>0</v>
      </c>
      <c r="AX113" s="401">
        <v>0</v>
      </c>
      <c r="AY113" s="401">
        <v>0</v>
      </c>
      <c r="AZ113" s="401">
        <v>0</v>
      </c>
      <c r="BA113" s="401">
        <v>0</v>
      </c>
      <c r="BB113" s="401">
        <v>0</v>
      </c>
      <c r="BC113" s="401">
        <v>0</v>
      </c>
      <c r="BD113" s="401">
        <v>0</v>
      </c>
      <c r="BE113" s="401">
        <v>0</v>
      </c>
      <c r="BF113" s="401">
        <v>0</v>
      </c>
      <c r="BG113" s="401">
        <v>0</v>
      </c>
      <c r="BH113" s="404" t="s">
        <v>322</v>
      </c>
      <c r="BI113" s="399" t="s">
        <v>122</v>
      </c>
      <c r="BJ113" s="405" t="s">
        <v>323</v>
      </c>
      <c r="BK113" s="403" t="s">
        <v>120</v>
      </c>
      <c r="BL113" s="405" t="s">
        <v>294</v>
      </c>
      <c r="BM113" s="399" t="s">
        <v>1026</v>
      </c>
    </row>
    <row r="114" spans="1:65" s="334" customFormat="1" ht="37.5" customHeight="1" x14ac:dyDescent="0.25">
      <c r="A114" s="425"/>
      <c r="B114" s="472"/>
      <c r="C114" s="399" t="s">
        <v>79</v>
      </c>
      <c r="D114" s="405" t="s">
        <v>53</v>
      </c>
      <c r="E114" s="265">
        <f t="shared" si="33"/>
        <v>2</v>
      </c>
      <c r="F114" s="266"/>
      <c r="G114" s="267">
        <f t="shared" si="34"/>
        <v>2</v>
      </c>
      <c r="H114" s="401"/>
      <c r="I114" s="401"/>
      <c r="J114" s="401"/>
      <c r="K114" s="401"/>
      <c r="L114" s="401"/>
      <c r="M114" s="401"/>
      <c r="N114" s="401"/>
      <c r="O114" s="401"/>
      <c r="P114" s="401"/>
      <c r="Q114" s="401"/>
      <c r="R114" s="401"/>
      <c r="S114" s="401"/>
      <c r="T114" s="401"/>
      <c r="U114" s="401">
        <f t="shared" si="36"/>
        <v>2</v>
      </c>
      <c r="V114" s="401">
        <v>2</v>
      </c>
      <c r="W114" s="401"/>
      <c r="X114" s="401"/>
      <c r="Y114" s="401"/>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1"/>
      <c r="AY114" s="401"/>
      <c r="AZ114" s="401"/>
      <c r="BA114" s="401"/>
      <c r="BB114" s="401"/>
      <c r="BC114" s="401"/>
      <c r="BD114" s="401"/>
      <c r="BE114" s="401"/>
      <c r="BF114" s="401"/>
      <c r="BG114" s="401"/>
      <c r="BH114" s="400" t="s">
        <v>270</v>
      </c>
      <c r="BI114" s="399" t="s">
        <v>79</v>
      </c>
      <c r="BJ114" s="399" t="s">
        <v>324</v>
      </c>
      <c r="BK114" s="402" t="s">
        <v>398</v>
      </c>
      <c r="BL114" s="405" t="s">
        <v>202</v>
      </c>
      <c r="BM114" s="399" t="s">
        <v>1026</v>
      </c>
    </row>
    <row r="115" spans="1:65" s="334" customFormat="1" ht="41.25" customHeight="1" x14ac:dyDescent="0.25">
      <c r="A115" s="425"/>
      <c r="B115" s="472"/>
      <c r="C115" s="405" t="s">
        <v>150</v>
      </c>
      <c r="D115" s="405" t="s">
        <v>53</v>
      </c>
      <c r="E115" s="265">
        <f t="shared" si="33"/>
        <v>1</v>
      </c>
      <c r="F115" s="266"/>
      <c r="G115" s="267">
        <f t="shared" si="34"/>
        <v>1</v>
      </c>
      <c r="H115" s="401"/>
      <c r="I115" s="401"/>
      <c r="J115" s="401"/>
      <c r="K115" s="401"/>
      <c r="L115" s="401"/>
      <c r="M115" s="401"/>
      <c r="N115" s="401"/>
      <c r="O115" s="401"/>
      <c r="P115" s="401"/>
      <c r="Q115" s="401"/>
      <c r="R115" s="401"/>
      <c r="S115" s="401"/>
      <c r="T115" s="401"/>
      <c r="U115" s="401">
        <f t="shared" si="36"/>
        <v>1</v>
      </c>
      <c r="V115" s="401">
        <v>1</v>
      </c>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404" t="s">
        <v>1086</v>
      </c>
      <c r="BI115" s="405" t="s">
        <v>150</v>
      </c>
      <c r="BJ115" s="399" t="s">
        <v>325</v>
      </c>
      <c r="BK115" s="402" t="s">
        <v>398</v>
      </c>
      <c r="BL115" s="405" t="s">
        <v>202</v>
      </c>
      <c r="BM115" s="399" t="s">
        <v>1026</v>
      </c>
    </row>
    <row r="116" spans="1:65" s="334" customFormat="1" ht="41.25" customHeight="1" x14ac:dyDescent="0.25">
      <c r="A116" s="425"/>
      <c r="B116" s="472"/>
      <c r="C116" s="405" t="s">
        <v>106</v>
      </c>
      <c r="D116" s="405" t="s">
        <v>53</v>
      </c>
      <c r="E116" s="265">
        <f t="shared" si="33"/>
        <v>1</v>
      </c>
      <c r="F116" s="266"/>
      <c r="G116" s="267">
        <f t="shared" si="34"/>
        <v>1</v>
      </c>
      <c r="H116" s="401"/>
      <c r="I116" s="401"/>
      <c r="J116" s="401"/>
      <c r="K116" s="401"/>
      <c r="L116" s="401"/>
      <c r="M116" s="401"/>
      <c r="N116" s="401"/>
      <c r="O116" s="401"/>
      <c r="P116" s="401"/>
      <c r="Q116" s="401"/>
      <c r="R116" s="401"/>
      <c r="S116" s="401"/>
      <c r="T116" s="401"/>
      <c r="U116" s="401">
        <f t="shared" si="36"/>
        <v>1</v>
      </c>
      <c r="V116" s="401">
        <v>1</v>
      </c>
      <c r="W116" s="401"/>
      <c r="X116" s="401"/>
      <c r="Y116" s="401"/>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1"/>
      <c r="AV116" s="401"/>
      <c r="AW116" s="401"/>
      <c r="AX116" s="401"/>
      <c r="AY116" s="401"/>
      <c r="AZ116" s="401"/>
      <c r="BA116" s="401"/>
      <c r="BB116" s="401"/>
      <c r="BC116" s="401"/>
      <c r="BD116" s="401"/>
      <c r="BE116" s="401"/>
      <c r="BF116" s="401"/>
      <c r="BG116" s="401"/>
      <c r="BH116" s="404" t="s">
        <v>1007</v>
      </c>
      <c r="BI116" s="405" t="s">
        <v>106</v>
      </c>
      <c r="BJ116" s="399" t="s">
        <v>326</v>
      </c>
      <c r="BK116" s="402" t="s">
        <v>398</v>
      </c>
      <c r="BL116" s="405" t="s">
        <v>202</v>
      </c>
      <c r="BM116" s="477" t="s">
        <v>1026</v>
      </c>
    </row>
    <row r="117" spans="1:65" s="334" customFormat="1" ht="41.25" customHeight="1" x14ac:dyDescent="0.25">
      <c r="A117" s="425"/>
      <c r="B117" s="472"/>
      <c r="C117" s="478" t="s">
        <v>158</v>
      </c>
      <c r="D117" s="405" t="s">
        <v>53</v>
      </c>
      <c r="E117" s="265">
        <f t="shared" si="33"/>
        <v>1.26</v>
      </c>
      <c r="F117" s="266"/>
      <c r="G117" s="282">
        <f>SUM(H117:BG117)-M117-Q117-U117</f>
        <v>1.26</v>
      </c>
      <c r="H117" s="479"/>
      <c r="I117" s="479"/>
      <c r="J117" s="479"/>
      <c r="K117" s="479"/>
      <c r="L117" s="479"/>
      <c r="M117" s="404"/>
      <c r="N117" s="479"/>
      <c r="O117" s="479"/>
      <c r="P117" s="479"/>
      <c r="Q117" s="479"/>
      <c r="R117" s="479"/>
      <c r="S117" s="479"/>
      <c r="T117" s="479"/>
      <c r="U117" s="286">
        <f t="shared" si="36"/>
        <v>1.26</v>
      </c>
      <c r="V117" s="479">
        <f>1.5-0.24</f>
        <v>1.26</v>
      </c>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04" t="s">
        <v>327</v>
      </c>
      <c r="BI117" s="478" t="s">
        <v>158</v>
      </c>
      <c r="BJ117" s="400" t="s">
        <v>328</v>
      </c>
      <c r="BK117" s="402" t="s">
        <v>398</v>
      </c>
      <c r="BL117" s="405" t="s">
        <v>202</v>
      </c>
      <c r="BM117" s="477" t="s">
        <v>206</v>
      </c>
    </row>
    <row r="118" spans="1:65" s="252" customFormat="1" ht="22.5" customHeight="1" x14ac:dyDescent="0.25">
      <c r="A118" s="56" t="s">
        <v>329</v>
      </c>
      <c r="B118" s="70" t="s">
        <v>225</v>
      </c>
      <c r="C118" s="238"/>
      <c r="D118" s="44"/>
      <c r="E118" s="59">
        <f t="shared" ca="1" si="33"/>
        <v>453.63600000000002</v>
      </c>
      <c r="F118" s="59">
        <f t="shared" ref="F118:AK118" si="37">F119+F123+F125+F139+F150</f>
        <v>22.77</v>
      </c>
      <c r="G118" s="59">
        <f t="shared" ca="1" si="37"/>
        <v>423.846</v>
      </c>
      <c r="H118" s="59">
        <f t="shared" ca="1" si="37"/>
        <v>70.429999999999993</v>
      </c>
      <c r="I118" s="59">
        <f t="shared" ca="1" si="37"/>
        <v>19.099999999999998</v>
      </c>
      <c r="J118" s="59">
        <f t="shared" ca="1" si="37"/>
        <v>0</v>
      </c>
      <c r="K118" s="59">
        <f t="shared" ca="1" si="37"/>
        <v>31.98</v>
      </c>
      <c r="L118" s="59">
        <f t="shared" ca="1" si="37"/>
        <v>29.994</v>
      </c>
      <c r="M118" s="59">
        <f t="shared" ca="1" si="37"/>
        <v>18</v>
      </c>
      <c r="N118" s="59">
        <f t="shared" ca="1" si="37"/>
        <v>0</v>
      </c>
      <c r="O118" s="59">
        <f t="shared" ca="1" si="37"/>
        <v>18</v>
      </c>
      <c r="P118" s="59">
        <f t="shared" ca="1" si="37"/>
        <v>0</v>
      </c>
      <c r="Q118" s="59">
        <f t="shared" ca="1" si="37"/>
        <v>0</v>
      </c>
      <c r="R118" s="59">
        <f t="shared" ca="1" si="37"/>
        <v>0</v>
      </c>
      <c r="S118" s="59">
        <f t="shared" ca="1" si="37"/>
        <v>0</v>
      </c>
      <c r="T118" s="59">
        <f t="shared" ca="1" si="37"/>
        <v>0</v>
      </c>
      <c r="U118" s="71">
        <f t="shared" ca="1" si="37"/>
        <v>198.89</v>
      </c>
      <c r="V118" s="59">
        <f t="shared" ca="1" si="37"/>
        <v>133.85000000000002</v>
      </c>
      <c r="W118" s="59">
        <f t="shared" ca="1" si="37"/>
        <v>81.629999999999981</v>
      </c>
      <c r="X118" s="59">
        <f t="shared" ca="1" si="37"/>
        <v>0.42</v>
      </c>
      <c r="Y118" s="59">
        <f t="shared" ca="1" si="37"/>
        <v>2.29</v>
      </c>
      <c r="Z118" s="59">
        <f t="shared" ca="1" si="37"/>
        <v>0</v>
      </c>
      <c r="AA118" s="59">
        <f t="shared" ca="1" si="37"/>
        <v>0.04</v>
      </c>
      <c r="AB118" s="59">
        <f t="shared" ca="1" si="37"/>
        <v>0</v>
      </c>
      <c r="AC118" s="59">
        <f t="shared" ca="1" si="37"/>
        <v>0</v>
      </c>
      <c r="AD118" s="59">
        <f t="shared" ca="1" si="37"/>
        <v>0.18</v>
      </c>
      <c r="AE118" s="59">
        <f t="shared" ca="1" si="37"/>
        <v>0</v>
      </c>
      <c r="AF118" s="59">
        <f t="shared" ca="1" si="37"/>
        <v>0.16999999999999998</v>
      </c>
      <c r="AG118" s="59">
        <f t="shared" ca="1" si="37"/>
        <v>0.97000000000000008</v>
      </c>
      <c r="AH118" s="59">
        <f t="shared" ca="1" si="37"/>
        <v>0</v>
      </c>
      <c r="AI118" s="59">
        <f t="shared" ca="1" si="37"/>
        <v>0.02</v>
      </c>
      <c r="AJ118" s="59">
        <f t="shared" ca="1" si="37"/>
        <v>0.02</v>
      </c>
      <c r="AK118" s="59">
        <f t="shared" ca="1" si="37"/>
        <v>0</v>
      </c>
      <c r="AL118" s="59">
        <f t="shared" ref="AL118:BG118" ca="1" si="38">AL119+AL123+AL125+AL139+AL150</f>
        <v>0.21000000000000002</v>
      </c>
      <c r="AM118" s="59">
        <f t="shared" ca="1" si="38"/>
        <v>0.09</v>
      </c>
      <c r="AN118" s="59">
        <f t="shared" ca="1" si="38"/>
        <v>0</v>
      </c>
      <c r="AO118" s="59">
        <f t="shared" ca="1" si="38"/>
        <v>0</v>
      </c>
      <c r="AP118" s="59">
        <f t="shared" ca="1" si="38"/>
        <v>0</v>
      </c>
      <c r="AQ118" s="59">
        <f t="shared" ca="1" si="38"/>
        <v>0</v>
      </c>
      <c r="AR118" s="59">
        <f t="shared" ca="1" si="38"/>
        <v>0</v>
      </c>
      <c r="AS118" s="59">
        <f t="shared" ca="1" si="38"/>
        <v>0</v>
      </c>
      <c r="AT118" s="59">
        <f t="shared" ca="1" si="38"/>
        <v>6.830000000000001</v>
      </c>
      <c r="AU118" s="59">
        <f t="shared" ca="1" si="38"/>
        <v>0.55000000000000004</v>
      </c>
      <c r="AV118" s="59">
        <f t="shared" ca="1" si="38"/>
        <v>0</v>
      </c>
      <c r="AW118" s="59">
        <f t="shared" ca="1" si="38"/>
        <v>0</v>
      </c>
      <c r="AX118" s="59">
        <f t="shared" ca="1" si="38"/>
        <v>0.59</v>
      </c>
      <c r="AY118" s="59">
        <f t="shared" ca="1" si="38"/>
        <v>0</v>
      </c>
      <c r="AZ118" s="59">
        <f t="shared" ca="1" si="38"/>
        <v>0</v>
      </c>
      <c r="BA118" s="59">
        <f t="shared" ca="1" si="38"/>
        <v>0</v>
      </c>
      <c r="BB118" s="59">
        <f t="shared" ca="1" si="38"/>
        <v>0</v>
      </c>
      <c r="BC118" s="59">
        <f t="shared" ca="1" si="38"/>
        <v>0.09</v>
      </c>
      <c r="BD118" s="59">
        <f t="shared" ca="1" si="38"/>
        <v>12.462</v>
      </c>
      <c r="BE118" s="59">
        <f t="shared" ca="1" si="38"/>
        <v>0</v>
      </c>
      <c r="BF118" s="59">
        <f t="shared" ca="1" si="38"/>
        <v>0</v>
      </c>
      <c r="BG118" s="59">
        <f t="shared" ca="1" si="38"/>
        <v>4.1099999999999994</v>
      </c>
      <c r="BH118" s="238"/>
      <c r="BI118" s="238"/>
      <c r="BJ118" s="238"/>
      <c r="BK118" s="238"/>
      <c r="BL118" s="238"/>
      <c r="BM118" s="238"/>
    </row>
    <row r="119" spans="1:65" s="257" customFormat="1" ht="26.25" customHeight="1" x14ac:dyDescent="0.25">
      <c r="A119" s="98" t="s">
        <v>330</v>
      </c>
      <c r="B119" s="99" t="s">
        <v>331</v>
      </c>
      <c r="C119" s="58"/>
      <c r="D119" s="44"/>
      <c r="E119" s="59">
        <f>F119+G119</f>
        <v>223.78000000000003</v>
      </c>
      <c r="F119" s="59">
        <f t="shared" ref="F119:AK119" si="39">SUM(F120:F122)</f>
        <v>0</v>
      </c>
      <c r="G119" s="59">
        <f>SUM(G120:G122)</f>
        <v>223.78000000000003</v>
      </c>
      <c r="H119" s="59">
        <f>SUM(H120:H122)</f>
        <v>32.379999999999995</v>
      </c>
      <c r="I119" s="59">
        <f t="shared" si="39"/>
        <v>14.01</v>
      </c>
      <c r="J119" s="59">
        <f t="shared" si="39"/>
        <v>0</v>
      </c>
      <c r="K119" s="59">
        <f t="shared" si="39"/>
        <v>16.93</v>
      </c>
      <c r="L119" s="59">
        <f t="shared" si="39"/>
        <v>15.91</v>
      </c>
      <c r="M119" s="59">
        <f t="shared" si="39"/>
        <v>18</v>
      </c>
      <c r="N119" s="59">
        <f t="shared" si="39"/>
        <v>0</v>
      </c>
      <c r="O119" s="59">
        <f t="shared" si="39"/>
        <v>18</v>
      </c>
      <c r="P119" s="59">
        <f t="shared" si="39"/>
        <v>0</v>
      </c>
      <c r="Q119" s="59">
        <f t="shared" si="39"/>
        <v>0</v>
      </c>
      <c r="R119" s="59">
        <f t="shared" si="39"/>
        <v>0</v>
      </c>
      <c r="S119" s="59">
        <f t="shared" si="39"/>
        <v>0</v>
      </c>
      <c r="T119" s="59">
        <f t="shared" si="39"/>
        <v>0</v>
      </c>
      <c r="U119" s="71">
        <f t="shared" si="39"/>
        <v>109.6</v>
      </c>
      <c r="V119" s="59">
        <f t="shared" si="39"/>
        <v>48.639999999999993</v>
      </c>
      <c r="W119" s="59">
        <f t="shared" si="39"/>
        <v>60.789999999999992</v>
      </c>
      <c r="X119" s="59">
        <f t="shared" si="39"/>
        <v>0.16999999999999998</v>
      </c>
      <c r="Y119" s="59">
        <f t="shared" si="39"/>
        <v>1.17</v>
      </c>
      <c r="Z119" s="59">
        <f t="shared" si="39"/>
        <v>0</v>
      </c>
      <c r="AA119" s="59">
        <f t="shared" si="39"/>
        <v>0.04</v>
      </c>
      <c r="AB119" s="59">
        <f t="shared" si="39"/>
        <v>0</v>
      </c>
      <c r="AC119" s="59">
        <f t="shared" si="39"/>
        <v>0</v>
      </c>
      <c r="AD119" s="59">
        <f t="shared" si="39"/>
        <v>0.18</v>
      </c>
      <c r="AE119" s="59">
        <f t="shared" si="39"/>
        <v>0</v>
      </c>
      <c r="AF119" s="59">
        <f t="shared" si="39"/>
        <v>0</v>
      </c>
      <c r="AG119" s="59">
        <f t="shared" si="39"/>
        <v>0.83000000000000007</v>
      </c>
      <c r="AH119" s="59">
        <f t="shared" si="39"/>
        <v>0</v>
      </c>
      <c r="AI119" s="59">
        <f t="shared" si="39"/>
        <v>0.02</v>
      </c>
      <c r="AJ119" s="59">
        <f t="shared" si="39"/>
        <v>0.02</v>
      </c>
      <c r="AK119" s="59">
        <f t="shared" si="39"/>
        <v>0</v>
      </c>
      <c r="AL119" s="59">
        <f t="shared" ref="AL119:BG119" si="40">SUM(AL120:AL122)</f>
        <v>0.04</v>
      </c>
      <c r="AM119" s="59">
        <f t="shared" si="40"/>
        <v>0.09</v>
      </c>
      <c r="AN119" s="59">
        <f t="shared" si="40"/>
        <v>0</v>
      </c>
      <c r="AO119" s="59">
        <f t="shared" si="40"/>
        <v>0</v>
      </c>
      <c r="AP119" s="59">
        <f t="shared" si="40"/>
        <v>0</v>
      </c>
      <c r="AQ119" s="59">
        <f t="shared" si="40"/>
        <v>0</v>
      </c>
      <c r="AR119" s="59">
        <f t="shared" si="40"/>
        <v>0</v>
      </c>
      <c r="AS119" s="59">
        <f t="shared" si="40"/>
        <v>0</v>
      </c>
      <c r="AT119" s="59">
        <f t="shared" si="40"/>
        <v>4.4800000000000004</v>
      </c>
      <c r="AU119" s="59">
        <f t="shared" si="40"/>
        <v>0.25</v>
      </c>
      <c r="AV119" s="59">
        <f t="shared" si="40"/>
        <v>0</v>
      </c>
      <c r="AW119" s="59">
        <f t="shared" si="40"/>
        <v>0</v>
      </c>
      <c r="AX119" s="59">
        <f t="shared" si="40"/>
        <v>0.57999999999999996</v>
      </c>
      <c r="AY119" s="59">
        <f t="shared" si="40"/>
        <v>0</v>
      </c>
      <c r="AZ119" s="59">
        <f t="shared" si="40"/>
        <v>0</v>
      </c>
      <c r="BA119" s="59">
        <f t="shared" si="40"/>
        <v>0</v>
      </c>
      <c r="BB119" s="59">
        <f t="shared" si="40"/>
        <v>0</v>
      </c>
      <c r="BC119" s="59">
        <f t="shared" si="40"/>
        <v>0.04</v>
      </c>
      <c r="BD119" s="59">
        <f t="shared" si="40"/>
        <v>8.23</v>
      </c>
      <c r="BE119" s="59">
        <f t="shared" si="40"/>
        <v>0</v>
      </c>
      <c r="BF119" s="59">
        <f t="shared" si="40"/>
        <v>0</v>
      </c>
      <c r="BG119" s="59">
        <f t="shared" si="40"/>
        <v>0.98</v>
      </c>
      <c r="BH119" s="231"/>
      <c r="BI119" s="58"/>
      <c r="BJ119" s="58"/>
      <c r="BK119" s="228"/>
      <c r="BL119" s="229"/>
      <c r="BM119" s="58"/>
    </row>
    <row r="120" spans="1:65" s="384" customFormat="1" ht="173.25" x14ac:dyDescent="0.25">
      <c r="A120" s="377">
        <f>A107+1</f>
        <v>61</v>
      </c>
      <c r="B120" s="378" t="s">
        <v>332</v>
      </c>
      <c r="C120" s="337" t="s">
        <v>333</v>
      </c>
      <c r="D120" s="337" t="s">
        <v>34</v>
      </c>
      <c r="E120" s="385">
        <f>F120+G120</f>
        <v>122.62000000000003</v>
      </c>
      <c r="F120" s="340"/>
      <c r="G120" s="379">
        <f>SUM(H120:BG120)-M120-Q120-U120</f>
        <v>122.62000000000003</v>
      </c>
      <c r="H120" s="340">
        <f>32.3-3.89-1.24</f>
        <v>27.169999999999998</v>
      </c>
      <c r="I120" s="340">
        <f>6.31</f>
        <v>6.31</v>
      </c>
      <c r="J120" s="340">
        <v>0</v>
      </c>
      <c r="K120" s="340">
        <f>8.65+0.55</f>
        <v>9.2000000000000011</v>
      </c>
      <c r="L120" s="340">
        <f>4.72</f>
        <v>4.72</v>
      </c>
      <c r="M120" s="340">
        <v>0</v>
      </c>
      <c r="N120" s="340">
        <v>0</v>
      </c>
      <c r="O120" s="340">
        <v>0</v>
      </c>
      <c r="P120" s="340">
        <v>0</v>
      </c>
      <c r="Q120" s="340">
        <v>0</v>
      </c>
      <c r="R120" s="340">
        <v>0</v>
      </c>
      <c r="S120" s="340">
        <v>0</v>
      </c>
      <c r="T120" s="340">
        <v>0</v>
      </c>
      <c r="U120" s="380">
        <f>SUM(V120:X120)</f>
        <v>63.12</v>
      </c>
      <c r="V120" s="340">
        <f>23.72-0.55+0.7</f>
        <v>23.869999999999997</v>
      </c>
      <c r="W120" s="340">
        <f>34.01+5.15</f>
        <v>39.159999999999997</v>
      </c>
      <c r="X120" s="381">
        <f>0.73-0.25-0.39</f>
        <v>8.9999999999999969E-2</v>
      </c>
      <c r="Y120" s="340">
        <f>1.19-0.01-0.46</f>
        <v>0.72</v>
      </c>
      <c r="Z120" s="340">
        <v>0</v>
      </c>
      <c r="AA120" s="340">
        <v>0</v>
      </c>
      <c r="AB120" s="340">
        <v>0</v>
      </c>
      <c r="AC120" s="340">
        <v>0</v>
      </c>
      <c r="AD120" s="340">
        <v>0.08</v>
      </c>
      <c r="AE120" s="340">
        <v>0</v>
      </c>
      <c r="AF120" s="340"/>
      <c r="AG120" s="340">
        <f>0.66-0.01</f>
        <v>0.65</v>
      </c>
      <c r="AH120" s="340">
        <v>0</v>
      </c>
      <c r="AI120" s="340">
        <v>0</v>
      </c>
      <c r="AJ120" s="340">
        <v>0</v>
      </c>
      <c r="AK120" s="340">
        <v>0</v>
      </c>
      <c r="AL120" s="340">
        <v>0.04</v>
      </c>
      <c r="AM120" s="340">
        <v>0.09</v>
      </c>
      <c r="AN120" s="340">
        <v>0</v>
      </c>
      <c r="AO120" s="340">
        <v>0</v>
      </c>
      <c r="AP120" s="340">
        <v>0</v>
      </c>
      <c r="AQ120" s="340">
        <v>0</v>
      </c>
      <c r="AR120" s="340">
        <v>0</v>
      </c>
      <c r="AS120" s="340">
        <v>0</v>
      </c>
      <c r="AT120" s="340">
        <f>2.3-0.05-0.17+0.1</f>
        <v>2.1800000000000002</v>
      </c>
      <c r="AU120" s="340">
        <v>0.25</v>
      </c>
      <c r="AV120" s="340">
        <v>0</v>
      </c>
      <c r="AW120" s="340">
        <v>0</v>
      </c>
      <c r="AX120" s="381">
        <v>0.57999999999999996</v>
      </c>
      <c r="AY120" s="340">
        <v>0</v>
      </c>
      <c r="AZ120" s="340">
        <v>0</v>
      </c>
      <c r="BA120" s="340">
        <v>0</v>
      </c>
      <c r="BB120" s="340">
        <v>0</v>
      </c>
      <c r="BC120" s="340"/>
      <c r="BD120" s="381">
        <v>6.83</v>
      </c>
      <c r="BE120" s="340">
        <v>0</v>
      </c>
      <c r="BF120" s="340">
        <v>0</v>
      </c>
      <c r="BG120" s="340">
        <f>1.2-0.19-0.3-0.03</f>
        <v>0.67999999999999994</v>
      </c>
      <c r="BH120" s="341"/>
      <c r="BI120" s="337" t="s">
        <v>333</v>
      </c>
      <c r="BJ120" s="342" t="s">
        <v>334</v>
      </c>
      <c r="BK120" s="382" t="s">
        <v>1079</v>
      </c>
      <c r="BL120" s="383" t="s">
        <v>335</v>
      </c>
      <c r="BM120" s="342" t="s">
        <v>1080</v>
      </c>
    </row>
    <row r="121" spans="1:65" s="375" customFormat="1" ht="122.25" customHeight="1" x14ac:dyDescent="0.25">
      <c r="A121" s="365">
        <f>A120+1</f>
        <v>62</v>
      </c>
      <c r="B121" s="366" t="s">
        <v>336</v>
      </c>
      <c r="C121" s="359" t="s">
        <v>82</v>
      </c>
      <c r="D121" s="359" t="s">
        <v>34</v>
      </c>
      <c r="E121" s="367">
        <f t="shared" si="33"/>
        <v>52.230000000000004</v>
      </c>
      <c r="F121" s="368"/>
      <c r="G121" s="369">
        <f>SUM(H121:BG121)-M121-Q121-U121</f>
        <v>52.230000000000004</v>
      </c>
      <c r="H121" s="368">
        <v>5.21</v>
      </c>
      <c r="I121" s="368">
        <f>3.5-0.8</f>
        <v>2.7</v>
      </c>
      <c r="J121" s="368"/>
      <c r="K121" s="368">
        <f>4.08-1.35</f>
        <v>2.73</v>
      </c>
      <c r="L121" s="368">
        <v>1.3</v>
      </c>
      <c r="M121" s="368"/>
      <c r="N121" s="368"/>
      <c r="O121" s="368"/>
      <c r="P121" s="368"/>
      <c r="Q121" s="368"/>
      <c r="R121" s="368"/>
      <c r="S121" s="368"/>
      <c r="T121" s="368"/>
      <c r="U121" s="370">
        <f>SUM(V121:X121)</f>
        <v>35.549999999999997</v>
      </c>
      <c r="V121" s="368">
        <f>18.66+0.18-5</f>
        <v>13.84</v>
      </c>
      <c r="W121" s="368">
        <f>15.97-1+0.86+0.8+5</f>
        <v>21.63</v>
      </c>
      <c r="X121" s="371">
        <v>0.08</v>
      </c>
      <c r="Y121" s="368">
        <v>0.45</v>
      </c>
      <c r="Z121" s="368"/>
      <c r="AA121" s="368">
        <v>0.03</v>
      </c>
      <c r="AB121" s="368"/>
      <c r="AC121" s="368"/>
      <c r="AD121" s="368"/>
      <c r="AE121" s="368"/>
      <c r="AF121" s="368"/>
      <c r="AG121" s="368">
        <v>0.18</v>
      </c>
      <c r="AH121" s="368"/>
      <c r="AI121" s="368">
        <v>0.02</v>
      </c>
      <c r="AJ121" s="368">
        <v>0.02</v>
      </c>
      <c r="AK121" s="368"/>
      <c r="AL121" s="368"/>
      <c r="AM121" s="368"/>
      <c r="AN121" s="368"/>
      <c r="AO121" s="368"/>
      <c r="AP121" s="368"/>
      <c r="AQ121" s="368"/>
      <c r="AR121" s="368"/>
      <c r="AS121" s="368"/>
      <c r="AT121" s="368">
        <v>2.2999999999999998</v>
      </c>
      <c r="AU121" s="368"/>
      <c r="AV121" s="368"/>
      <c r="AW121" s="368"/>
      <c r="AX121" s="371"/>
      <c r="AY121" s="368"/>
      <c r="AZ121" s="368"/>
      <c r="BA121" s="368"/>
      <c r="BB121" s="368"/>
      <c r="BC121" s="368">
        <v>0.04</v>
      </c>
      <c r="BD121" s="371">
        <f>1.26+1-0.86</f>
        <v>1.4</v>
      </c>
      <c r="BE121" s="368"/>
      <c r="BF121" s="368"/>
      <c r="BG121" s="368">
        <f>0.48-0.18</f>
        <v>0.3</v>
      </c>
      <c r="BH121" s="372"/>
      <c r="BI121" s="359" t="s">
        <v>82</v>
      </c>
      <c r="BJ121" s="353" t="s">
        <v>337</v>
      </c>
      <c r="BK121" s="373" t="s">
        <v>120</v>
      </c>
      <c r="BL121" s="374" t="s">
        <v>338</v>
      </c>
      <c r="BM121" s="353" t="s">
        <v>1026</v>
      </c>
    </row>
    <row r="122" spans="1:65" s="252" customFormat="1" ht="78.75" x14ac:dyDescent="0.25">
      <c r="A122" s="215">
        <f>A121+1</f>
        <v>63</v>
      </c>
      <c r="B122" s="237" t="s">
        <v>339</v>
      </c>
      <c r="C122" s="232" t="s">
        <v>340</v>
      </c>
      <c r="D122" s="243" t="s">
        <v>34</v>
      </c>
      <c r="E122" s="20">
        <f t="shared" si="33"/>
        <v>48.93</v>
      </c>
      <c r="F122" s="28"/>
      <c r="G122" s="73">
        <f>SUM(H122:BG122)-M122-Q122-U122</f>
        <v>48.93</v>
      </c>
      <c r="H122" s="240"/>
      <c r="I122" s="240">
        <v>5</v>
      </c>
      <c r="J122" s="240"/>
      <c r="K122" s="240">
        <v>5</v>
      </c>
      <c r="L122" s="240">
        <f>10-5.91+5.91-0.01-0.1</f>
        <v>9.89</v>
      </c>
      <c r="M122" s="238">
        <v>18</v>
      </c>
      <c r="N122" s="240"/>
      <c r="O122" s="240">
        <v>18</v>
      </c>
      <c r="P122" s="240"/>
      <c r="Q122" s="240"/>
      <c r="R122" s="240"/>
      <c r="S122" s="240"/>
      <c r="T122" s="240"/>
      <c r="U122" s="33">
        <f>SUM(V122:X122)</f>
        <v>10.93</v>
      </c>
      <c r="V122" s="240">
        <v>10.93</v>
      </c>
      <c r="W122" s="240"/>
      <c r="X122" s="240"/>
      <c r="Y122" s="240"/>
      <c r="Z122" s="240"/>
      <c r="AA122" s="240">
        <v>0.01</v>
      </c>
      <c r="AB122" s="240"/>
      <c r="AC122" s="240"/>
      <c r="AD122" s="240">
        <v>0.1</v>
      </c>
      <c r="AE122" s="240"/>
      <c r="AF122" s="240"/>
      <c r="AG122" s="102"/>
      <c r="AH122" s="102"/>
      <c r="AI122" s="102"/>
      <c r="AJ122" s="102"/>
      <c r="AK122" s="102"/>
      <c r="AL122" s="102"/>
      <c r="AM122" s="102"/>
      <c r="AN122" s="102"/>
      <c r="AO122" s="102"/>
      <c r="AP122" s="102"/>
      <c r="AQ122" s="102"/>
      <c r="AR122" s="102"/>
      <c r="AS122" s="102"/>
      <c r="AT122" s="102"/>
      <c r="AU122" s="102"/>
      <c r="AV122" s="102"/>
      <c r="AW122" s="238"/>
      <c r="AX122" s="240"/>
      <c r="AY122" s="186"/>
      <c r="AZ122" s="238"/>
      <c r="BA122" s="240"/>
      <c r="BB122" s="240"/>
      <c r="BC122" s="102"/>
      <c r="BD122" s="102"/>
      <c r="BE122" s="102"/>
      <c r="BF122" s="102"/>
      <c r="BG122" s="102"/>
      <c r="BH122" s="185"/>
      <c r="BI122" s="232" t="s">
        <v>1140</v>
      </c>
      <c r="BJ122" s="232" t="s">
        <v>1052</v>
      </c>
      <c r="BK122" s="185" t="s">
        <v>120</v>
      </c>
      <c r="BL122" s="218" t="s">
        <v>341</v>
      </c>
      <c r="BM122" s="226" t="s">
        <v>1026</v>
      </c>
    </row>
    <row r="123" spans="1:65" s="254" customFormat="1" ht="26.25" customHeight="1" x14ac:dyDescent="0.25">
      <c r="A123" s="98" t="s">
        <v>330</v>
      </c>
      <c r="B123" s="99" t="s">
        <v>342</v>
      </c>
      <c r="C123" s="44"/>
      <c r="D123" s="44"/>
      <c r="E123" s="59">
        <f t="shared" si="33"/>
        <v>14.510000000000002</v>
      </c>
      <c r="F123" s="47">
        <f>SUM(F124)</f>
        <v>1</v>
      </c>
      <c r="G123" s="47">
        <f>SUM(G124)</f>
        <v>13.510000000000002</v>
      </c>
      <c r="H123" s="47">
        <f>SUM(H124)</f>
        <v>1.2</v>
      </c>
      <c r="I123" s="47">
        <f t="shared" ref="I123:BG123" si="41">SUM(I124)</f>
        <v>0.6</v>
      </c>
      <c r="J123" s="47">
        <f t="shared" si="41"/>
        <v>0</v>
      </c>
      <c r="K123" s="47">
        <f t="shared" si="41"/>
        <v>0.9</v>
      </c>
      <c r="L123" s="47">
        <f t="shared" si="41"/>
        <v>2.31</v>
      </c>
      <c r="M123" s="47">
        <f t="shared" si="41"/>
        <v>0</v>
      </c>
      <c r="N123" s="47">
        <f t="shared" si="41"/>
        <v>0</v>
      </c>
      <c r="O123" s="47">
        <f t="shared" si="41"/>
        <v>0</v>
      </c>
      <c r="P123" s="47">
        <f t="shared" si="41"/>
        <v>0</v>
      </c>
      <c r="Q123" s="47">
        <f t="shared" si="41"/>
        <v>0</v>
      </c>
      <c r="R123" s="47">
        <f t="shared" si="41"/>
        <v>0</v>
      </c>
      <c r="S123" s="47">
        <f t="shared" si="41"/>
        <v>0</v>
      </c>
      <c r="T123" s="47">
        <f t="shared" si="41"/>
        <v>0</v>
      </c>
      <c r="U123" s="47">
        <f t="shared" si="41"/>
        <v>6.89</v>
      </c>
      <c r="V123" s="47">
        <f t="shared" si="41"/>
        <v>6.89</v>
      </c>
      <c r="W123" s="47">
        <f t="shared" si="41"/>
        <v>0</v>
      </c>
      <c r="X123" s="47">
        <f t="shared" si="41"/>
        <v>0</v>
      </c>
      <c r="Y123" s="47">
        <f t="shared" si="41"/>
        <v>0.01</v>
      </c>
      <c r="Z123" s="47">
        <f t="shared" si="41"/>
        <v>0</v>
      </c>
      <c r="AA123" s="47">
        <f t="shared" si="41"/>
        <v>0</v>
      </c>
      <c r="AB123" s="47">
        <f t="shared" si="41"/>
        <v>0</v>
      </c>
      <c r="AC123" s="47">
        <f t="shared" si="41"/>
        <v>0</v>
      </c>
      <c r="AD123" s="47">
        <f t="shared" si="41"/>
        <v>0</v>
      </c>
      <c r="AE123" s="47">
        <f t="shared" si="41"/>
        <v>0</v>
      </c>
      <c r="AF123" s="47">
        <f t="shared" si="41"/>
        <v>0</v>
      </c>
      <c r="AG123" s="47">
        <f t="shared" si="41"/>
        <v>0</v>
      </c>
      <c r="AH123" s="47">
        <f t="shared" si="41"/>
        <v>0</v>
      </c>
      <c r="AI123" s="47">
        <f t="shared" si="41"/>
        <v>0</v>
      </c>
      <c r="AJ123" s="47">
        <f t="shared" si="41"/>
        <v>0</v>
      </c>
      <c r="AK123" s="47">
        <f t="shared" si="41"/>
        <v>0</v>
      </c>
      <c r="AL123" s="47">
        <f t="shared" si="41"/>
        <v>0</v>
      </c>
      <c r="AM123" s="47">
        <f t="shared" si="41"/>
        <v>0</v>
      </c>
      <c r="AN123" s="47">
        <f t="shared" si="41"/>
        <v>0</v>
      </c>
      <c r="AO123" s="47">
        <f t="shared" si="41"/>
        <v>0</v>
      </c>
      <c r="AP123" s="47">
        <f t="shared" si="41"/>
        <v>0</v>
      </c>
      <c r="AQ123" s="47">
        <f t="shared" si="41"/>
        <v>0</v>
      </c>
      <c r="AR123" s="47">
        <f t="shared" si="41"/>
        <v>0</v>
      </c>
      <c r="AS123" s="47">
        <f t="shared" si="41"/>
        <v>0</v>
      </c>
      <c r="AT123" s="47">
        <f t="shared" si="41"/>
        <v>0.2</v>
      </c>
      <c r="AU123" s="47">
        <f t="shared" si="41"/>
        <v>0.3</v>
      </c>
      <c r="AV123" s="47">
        <f t="shared" si="41"/>
        <v>0</v>
      </c>
      <c r="AW123" s="47">
        <f t="shared" si="41"/>
        <v>0</v>
      </c>
      <c r="AX123" s="47">
        <f t="shared" si="41"/>
        <v>0</v>
      </c>
      <c r="AY123" s="47">
        <f t="shared" si="41"/>
        <v>0</v>
      </c>
      <c r="AZ123" s="47">
        <f t="shared" si="41"/>
        <v>0</v>
      </c>
      <c r="BA123" s="47">
        <f t="shared" si="41"/>
        <v>0</v>
      </c>
      <c r="BB123" s="47">
        <f t="shared" si="41"/>
        <v>0</v>
      </c>
      <c r="BC123" s="47">
        <f t="shared" si="41"/>
        <v>0</v>
      </c>
      <c r="BD123" s="47">
        <f t="shared" si="41"/>
        <v>1</v>
      </c>
      <c r="BE123" s="47">
        <f t="shared" si="41"/>
        <v>0</v>
      </c>
      <c r="BF123" s="47">
        <f t="shared" si="41"/>
        <v>0</v>
      </c>
      <c r="BG123" s="47">
        <f t="shared" si="41"/>
        <v>0.1</v>
      </c>
      <c r="BH123" s="231"/>
      <c r="BI123" s="44"/>
      <c r="BJ123" s="44"/>
      <c r="BK123" s="228"/>
      <c r="BL123" s="229"/>
      <c r="BM123" s="58"/>
    </row>
    <row r="124" spans="1:65" s="252" customFormat="1" ht="102" customHeight="1" x14ac:dyDescent="0.25">
      <c r="A124" s="215">
        <f>A122+1</f>
        <v>64</v>
      </c>
      <c r="B124" s="237" t="s">
        <v>343</v>
      </c>
      <c r="C124" s="243" t="s">
        <v>344</v>
      </c>
      <c r="D124" s="243" t="s">
        <v>34</v>
      </c>
      <c r="E124" s="20">
        <f t="shared" si="33"/>
        <v>14.510000000000002</v>
      </c>
      <c r="F124" s="20">
        <v>1</v>
      </c>
      <c r="G124" s="73">
        <f>SUM(H124:BG124)-M124-Q124-U124</f>
        <v>13.510000000000002</v>
      </c>
      <c r="H124" s="238">
        <v>1.2</v>
      </c>
      <c r="I124" s="238">
        <v>0.6</v>
      </c>
      <c r="J124" s="238"/>
      <c r="K124" s="238">
        <v>0.9</v>
      </c>
      <c r="L124" s="238">
        <f>3.31-1</f>
        <v>2.31</v>
      </c>
      <c r="M124" s="238">
        <f>SUM(N124:P124)</f>
        <v>0</v>
      </c>
      <c r="N124" s="238"/>
      <c r="O124" s="238"/>
      <c r="P124" s="238"/>
      <c r="Q124" s="238">
        <f>SUM(R124:T124)</f>
        <v>0</v>
      </c>
      <c r="R124" s="238"/>
      <c r="S124" s="238"/>
      <c r="T124" s="238"/>
      <c r="U124" s="33">
        <f>SUM(V124:X124)</f>
        <v>6.89</v>
      </c>
      <c r="V124" s="238">
        <f>5.89+1</f>
        <v>6.89</v>
      </c>
      <c r="W124" s="238"/>
      <c r="X124" s="247"/>
      <c r="Y124" s="238">
        <v>0.01</v>
      </c>
      <c r="Z124" s="238"/>
      <c r="AA124" s="238"/>
      <c r="AB124" s="238"/>
      <c r="AC124" s="238"/>
      <c r="AD124" s="238"/>
      <c r="AE124" s="238"/>
      <c r="AF124" s="238"/>
      <c r="AG124" s="238"/>
      <c r="AH124" s="238"/>
      <c r="AI124" s="238"/>
      <c r="AJ124" s="238"/>
      <c r="AK124" s="238"/>
      <c r="AL124" s="238"/>
      <c r="AM124" s="238"/>
      <c r="AN124" s="238"/>
      <c r="AO124" s="238"/>
      <c r="AP124" s="238"/>
      <c r="AQ124" s="238"/>
      <c r="AR124" s="238"/>
      <c r="AS124" s="238"/>
      <c r="AT124" s="247">
        <v>0.2</v>
      </c>
      <c r="AU124" s="238">
        <v>0.3</v>
      </c>
      <c r="AV124" s="238"/>
      <c r="AW124" s="238"/>
      <c r="AX124" s="238"/>
      <c r="AY124" s="238"/>
      <c r="AZ124" s="238"/>
      <c r="BA124" s="238"/>
      <c r="BB124" s="238"/>
      <c r="BC124" s="238"/>
      <c r="BD124" s="238">
        <v>1</v>
      </c>
      <c r="BE124" s="238"/>
      <c r="BF124" s="238"/>
      <c r="BG124" s="238">
        <v>0.1</v>
      </c>
      <c r="BH124" s="235"/>
      <c r="BI124" s="243" t="s">
        <v>344</v>
      </c>
      <c r="BJ124" s="243" t="s">
        <v>345</v>
      </c>
      <c r="BK124" s="234" t="s">
        <v>398</v>
      </c>
      <c r="BL124" s="218" t="s">
        <v>346</v>
      </c>
      <c r="BM124" s="226" t="s">
        <v>1026</v>
      </c>
    </row>
    <row r="125" spans="1:65" s="254" customFormat="1" ht="31.5" x14ac:dyDescent="0.25">
      <c r="A125" s="98" t="s">
        <v>330</v>
      </c>
      <c r="B125" s="99" t="s">
        <v>347</v>
      </c>
      <c r="C125" s="58"/>
      <c r="D125" s="44"/>
      <c r="E125" s="59">
        <f t="shared" si="33"/>
        <v>29.16</v>
      </c>
      <c r="F125" s="47">
        <f>SUM(F130:F138)</f>
        <v>21.36</v>
      </c>
      <c r="G125" s="47">
        <f>SUM(G130:G138)</f>
        <v>7.8</v>
      </c>
      <c r="H125" s="47">
        <f>SUM(H130:H138)</f>
        <v>0.1</v>
      </c>
      <c r="I125" s="47">
        <f t="shared" ref="I125:BG125" si="42">SUM(I130:I138)</f>
        <v>0.11</v>
      </c>
      <c r="J125" s="47">
        <f t="shared" si="42"/>
        <v>0</v>
      </c>
      <c r="K125" s="47">
        <f t="shared" si="42"/>
        <v>1.04</v>
      </c>
      <c r="L125" s="47">
        <f t="shared" si="42"/>
        <v>0.42000000000000004</v>
      </c>
      <c r="M125" s="47">
        <f t="shared" si="42"/>
        <v>0</v>
      </c>
      <c r="N125" s="47">
        <f t="shared" si="42"/>
        <v>0</v>
      </c>
      <c r="O125" s="47">
        <f t="shared" si="42"/>
        <v>0</v>
      </c>
      <c r="P125" s="47">
        <f t="shared" si="42"/>
        <v>0</v>
      </c>
      <c r="Q125" s="47">
        <f t="shared" si="42"/>
        <v>0</v>
      </c>
      <c r="R125" s="47">
        <f t="shared" si="42"/>
        <v>0</v>
      </c>
      <c r="S125" s="47">
        <f t="shared" si="42"/>
        <v>0</v>
      </c>
      <c r="T125" s="47">
        <f t="shared" si="42"/>
        <v>0</v>
      </c>
      <c r="U125" s="47">
        <f t="shared" si="42"/>
        <v>6</v>
      </c>
      <c r="V125" s="47">
        <f t="shared" si="42"/>
        <v>6</v>
      </c>
      <c r="W125" s="47">
        <f t="shared" si="42"/>
        <v>0</v>
      </c>
      <c r="X125" s="47">
        <f t="shared" si="42"/>
        <v>0</v>
      </c>
      <c r="Y125" s="47">
        <f t="shared" si="42"/>
        <v>0</v>
      </c>
      <c r="Z125" s="47">
        <f t="shared" si="42"/>
        <v>0</v>
      </c>
      <c r="AA125" s="47">
        <f t="shared" si="42"/>
        <v>0</v>
      </c>
      <c r="AB125" s="47">
        <f t="shared" si="42"/>
        <v>0</v>
      </c>
      <c r="AC125" s="47">
        <f t="shared" si="42"/>
        <v>0</v>
      </c>
      <c r="AD125" s="47">
        <f t="shared" si="42"/>
        <v>0</v>
      </c>
      <c r="AE125" s="47">
        <f t="shared" si="42"/>
        <v>0</v>
      </c>
      <c r="AF125" s="47">
        <f t="shared" si="42"/>
        <v>0</v>
      </c>
      <c r="AG125" s="47">
        <f t="shared" si="42"/>
        <v>0</v>
      </c>
      <c r="AH125" s="47">
        <f t="shared" si="42"/>
        <v>0</v>
      </c>
      <c r="AI125" s="47">
        <f t="shared" si="42"/>
        <v>0</v>
      </c>
      <c r="AJ125" s="47">
        <f t="shared" si="42"/>
        <v>0</v>
      </c>
      <c r="AK125" s="47">
        <f t="shared" si="42"/>
        <v>0</v>
      </c>
      <c r="AL125" s="47">
        <f t="shared" si="42"/>
        <v>0</v>
      </c>
      <c r="AM125" s="47">
        <f t="shared" si="42"/>
        <v>0</v>
      </c>
      <c r="AN125" s="47">
        <f t="shared" si="42"/>
        <v>0</v>
      </c>
      <c r="AO125" s="47">
        <f t="shared" si="42"/>
        <v>0</v>
      </c>
      <c r="AP125" s="47">
        <f t="shared" si="42"/>
        <v>0</v>
      </c>
      <c r="AQ125" s="47">
        <f t="shared" si="42"/>
        <v>0</v>
      </c>
      <c r="AR125" s="47">
        <f t="shared" si="42"/>
        <v>0</v>
      </c>
      <c r="AS125" s="47">
        <f t="shared" si="42"/>
        <v>0</v>
      </c>
      <c r="AT125" s="47">
        <f t="shared" si="42"/>
        <v>0.11</v>
      </c>
      <c r="AU125" s="47">
        <f t="shared" si="42"/>
        <v>0</v>
      </c>
      <c r="AV125" s="47">
        <f t="shared" si="42"/>
        <v>0</v>
      </c>
      <c r="AW125" s="47">
        <f t="shared" si="42"/>
        <v>0</v>
      </c>
      <c r="AX125" s="47">
        <f t="shared" si="42"/>
        <v>0</v>
      </c>
      <c r="AY125" s="47">
        <f t="shared" si="42"/>
        <v>0</v>
      </c>
      <c r="AZ125" s="47">
        <f t="shared" si="42"/>
        <v>0</v>
      </c>
      <c r="BA125" s="47">
        <f t="shared" si="42"/>
        <v>0</v>
      </c>
      <c r="BB125" s="47">
        <f t="shared" si="42"/>
        <v>0</v>
      </c>
      <c r="BC125" s="47">
        <f t="shared" si="42"/>
        <v>0</v>
      </c>
      <c r="BD125" s="47">
        <f t="shared" si="42"/>
        <v>0.02</v>
      </c>
      <c r="BE125" s="47">
        <f t="shared" si="42"/>
        <v>0</v>
      </c>
      <c r="BF125" s="47">
        <f t="shared" si="42"/>
        <v>0</v>
      </c>
      <c r="BG125" s="47">
        <f t="shared" si="42"/>
        <v>0</v>
      </c>
      <c r="BH125" s="231"/>
      <c r="BI125" s="58"/>
      <c r="BJ125" s="58"/>
      <c r="BK125" s="228"/>
      <c r="BL125" s="231"/>
      <c r="BM125" s="58"/>
    </row>
    <row r="126" spans="1:65" s="252" customFormat="1" ht="94.5" x14ac:dyDescent="0.25">
      <c r="A126" s="407">
        <f>A124+1</f>
        <v>65</v>
      </c>
      <c r="B126" s="183" t="s">
        <v>1083</v>
      </c>
      <c r="C126" s="438" t="s">
        <v>82</v>
      </c>
      <c r="D126" s="243"/>
      <c r="E126" s="20">
        <f>F126+G126</f>
        <v>24</v>
      </c>
      <c r="F126" s="103"/>
      <c r="G126" s="82">
        <f>SUM(H126:M126,Q126,U126,Y126:BG126)</f>
        <v>24</v>
      </c>
      <c r="H126" s="78">
        <f t="shared" ref="H126:BG126" si="43">H127+H128+H129</f>
        <v>1</v>
      </c>
      <c r="I126" s="78">
        <f t="shared" si="43"/>
        <v>0.5</v>
      </c>
      <c r="J126" s="78">
        <f t="shared" si="43"/>
        <v>0</v>
      </c>
      <c r="K126" s="78">
        <f t="shared" si="43"/>
        <v>1.73</v>
      </c>
      <c r="L126" s="78">
        <f t="shared" si="43"/>
        <v>2.02</v>
      </c>
      <c r="M126" s="78">
        <f t="shared" si="43"/>
        <v>0</v>
      </c>
      <c r="N126" s="78">
        <f t="shared" si="43"/>
        <v>0</v>
      </c>
      <c r="O126" s="78">
        <f t="shared" si="43"/>
        <v>0</v>
      </c>
      <c r="P126" s="78">
        <f t="shared" si="43"/>
        <v>0</v>
      </c>
      <c r="Q126" s="78">
        <f t="shared" si="43"/>
        <v>0</v>
      </c>
      <c r="R126" s="78">
        <f t="shared" si="43"/>
        <v>0</v>
      </c>
      <c r="S126" s="78">
        <f t="shared" si="43"/>
        <v>0</v>
      </c>
      <c r="T126" s="78">
        <f t="shared" si="43"/>
        <v>0</v>
      </c>
      <c r="U126" s="240">
        <f t="shared" si="43"/>
        <v>13.07</v>
      </c>
      <c r="V126" s="78">
        <f t="shared" si="43"/>
        <v>13.07</v>
      </c>
      <c r="W126" s="78">
        <f t="shared" si="43"/>
        <v>0</v>
      </c>
      <c r="X126" s="78">
        <f t="shared" si="43"/>
        <v>0</v>
      </c>
      <c r="Y126" s="78">
        <f t="shared" si="43"/>
        <v>0</v>
      </c>
      <c r="Z126" s="78">
        <f t="shared" si="43"/>
        <v>0</v>
      </c>
      <c r="AA126" s="78">
        <f t="shared" si="43"/>
        <v>0</v>
      </c>
      <c r="AB126" s="78">
        <f t="shared" si="43"/>
        <v>0</v>
      </c>
      <c r="AC126" s="78">
        <f t="shared" si="43"/>
        <v>0</v>
      </c>
      <c r="AD126" s="78">
        <f t="shared" si="43"/>
        <v>5.16</v>
      </c>
      <c r="AE126" s="78">
        <f t="shared" si="43"/>
        <v>0</v>
      </c>
      <c r="AF126" s="78">
        <f t="shared" si="43"/>
        <v>0.1</v>
      </c>
      <c r="AG126" s="78">
        <f t="shared" si="43"/>
        <v>0.05</v>
      </c>
      <c r="AH126" s="78">
        <f t="shared" si="43"/>
        <v>0</v>
      </c>
      <c r="AI126" s="78">
        <f t="shared" si="43"/>
        <v>0</v>
      </c>
      <c r="AJ126" s="78">
        <f t="shared" si="43"/>
        <v>0</v>
      </c>
      <c r="AK126" s="78">
        <f t="shared" si="43"/>
        <v>0</v>
      </c>
      <c r="AL126" s="78">
        <f t="shared" si="43"/>
        <v>0</v>
      </c>
      <c r="AM126" s="78">
        <f t="shared" si="43"/>
        <v>0</v>
      </c>
      <c r="AN126" s="78">
        <f t="shared" si="43"/>
        <v>0</v>
      </c>
      <c r="AO126" s="78">
        <f t="shared" si="43"/>
        <v>0</v>
      </c>
      <c r="AP126" s="78">
        <f t="shared" si="43"/>
        <v>0</v>
      </c>
      <c r="AQ126" s="78">
        <f t="shared" si="43"/>
        <v>0</v>
      </c>
      <c r="AR126" s="78">
        <f t="shared" si="43"/>
        <v>0</v>
      </c>
      <c r="AS126" s="78">
        <f t="shared" si="43"/>
        <v>0</v>
      </c>
      <c r="AT126" s="78">
        <f t="shared" si="43"/>
        <v>0.04</v>
      </c>
      <c r="AU126" s="78">
        <f t="shared" si="43"/>
        <v>0</v>
      </c>
      <c r="AV126" s="78">
        <f t="shared" si="43"/>
        <v>0</v>
      </c>
      <c r="AW126" s="78">
        <f t="shared" si="43"/>
        <v>0</v>
      </c>
      <c r="AX126" s="78">
        <f t="shared" si="43"/>
        <v>0</v>
      </c>
      <c r="AY126" s="78">
        <f t="shared" si="43"/>
        <v>0</v>
      </c>
      <c r="AZ126" s="78">
        <f t="shared" si="43"/>
        <v>0</v>
      </c>
      <c r="BA126" s="78">
        <f t="shared" si="43"/>
        <v>0</v>
      </c>
      <c r="BB126" s="78">
        <f t="shared" si="43"/>
        <v>0</v>
      </c>
      <c r="BC126" s="78">
        <f t="shared" si="43"/>
        <v>0</v>
      </c>
      <c r="BD126" s="78">
        <f t="shared" si="43"/>
        <v>0</v>
      </c>
      <c r="BE126" s="78">
        <f t="shared" si="43"/>
        <v>0</v>
      </c>
      <c r="BF126" s="78">
        <f t="shared" si="43"/>
        <v>0</v>
      </c>
      <c r="BG126" s="78">
        <f t="shared" si="43"/>
        <v>0.33</v>
      </c>
      <c r="BH126" s="442" t="s">
        <v>191</v>
      </c>
      <c r="BI126" s="438" t="s">
        <v>82</v>
      </c>
      <c r="BJ126" s="443" t="s">
        <v>192</v>
      </c>
      <c r="BK126" s="410" t="s">
        <v>68</v>
      </c>
      <c r="BL126" s="409" t="s">
        <v>193</v>
      </c>
      <c r="BM126" s="437" t="s">
        <v>1026</v>
      </c>
    </row>
    <row r="127" spans="1:65" s="252" customFormat="1" x14ac:dyDescent="0.25">
      <c r="A127" s="407"/>
      <c r="B127" s="104" t="s">
        <v>194</v>
      </c>
      <c r="C127" s="438"/>
      <c r="D127" s="81" t="s">
        <v>31</v>
      </c>
      <c r="E127" s="103">
        <f>F127+G127</f>
        <v>2.2999999999999998</v>
      </c>
      <c r="F127" s="103"/>
      <c r="G127" s="82">
        <f>SUM(H127:M127,Q127,U127,Y127:BG127)</f>
        <v>2.2999999999999998</v>
      </c>
      <c r="H127" s="105"/>
      <c r="I127" s="88"/>
      <c r="J127" s="88"/>
      <c r="K127" s="106"/>
      <c r="L127" s="88"/>
      <c r="M127" s="86"/>
      <c r="N127" s="88"/>
      <c r="O127" s="105"/>
      <c r="P127" s="88"/>
      <c r="Q127" s="83"/>
      <c r="R127" s="88"/>
      <c r="S127" s="88"/>
      <c r="T127" s="88"/>
      <c r="U127" s="83">
        <f>SUM(V127:X127)</f>
        <v>2.2999999999999998</v>
      </c>
      <c r="V127" s="88">
        <v>2.2999999999999998</v>
      </c>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106"/>
      <c r="BH127" s="442"/>
      <c r="BI127" s="438"/>
      <c r="BJ127" s="443"/>
      <c r="BK127" s="410"/>
      <c r="BL127" s="409"/>
      <c r="BM127" s="437"/>
    </row>
    <row r="128" spans="1:65" s="252" customFormat="1" ht="31.5" x14ac:dyDescent="0.25">
      <c r="A128" s="407"/>
      <c r="B128" s="104" t="s">
        <v>195</v>
      </c>
      <c r="C128" s="438"/>
      <c r="D128" s="107" t="s">
        <v>32</v>
      </c>
      <c r="E128" s="103">
        <f>F128+G128</f>
        <v>9.73</v>
      </c>
      <c r="F128" s="82"/>
      <c r="G128" s="82">
        <f>SUM(H128:M128,Q128,U128,Y128:BG128)</f>
        <v>9.73</v>
      </c>
      <c r="H128" s="83"/>
      <c r="I128" s="84"/>
      <c r="J128" s="84"/>
      <c r="K128" s="106">
        <v>0.53</v>
      </c>
      <c r="L128" s="105">
        <v>0.72</v>
      </c>
      <c r="M128" s="86"/>
      <c r="N128" s="83"/>
      <c r="O128" s="83"/>
      <c r="P128" s="83"/>
      <c r="Q128" s="83">
        <f>R128+S128+T128</f>
        <v>0</v>
      </c>
      <c r="R128" s="83"/>
      <c r="S128" s="83"/>
      <c r="T128" s="83"/>
      <c r="U128" s="178">
        <f>SUM(V128:X128)</f>
        <v>2.8</v>
      </c>
      <c r="V128" s="108">
        <v>2.8</v>
      </c>
      <c r="W128" s="86"/>
      <c r="X128" s="86"/>
      <c r="Y128" s="86"/>
      <c r="Z128" s="86"/>
      <c r="AA128" s="86"/>
      <c r="AB128" s="86"/>
      <c r="AC128" s="86"/>
      <c r="AD128" s="105">
        <v>5.16</v>
      </c>
      <c r="AE128" s="86"/>
      <c r="AF128" s="105">
        <v>0.1</v>
      </c>
      <c r="AG128" s="105">
        <v>0.05</v>
      </c>
      <c r="AH128" s="86"/>
      <c r="AI128" s="86"/>
      <c r="AJ128" s="86"/>
      <c r="AK128" s="86"/>
      <c r="AL128" s="86"/>
      <c r="AM128" s="86"/>
      <c r="AN128" s="86"/>
      <c r="AO128" s="86"/>
      <c r="AP128" s="86"/>
      <c r="AQ128" s="86"/>
      <c r="AR128" s="86"/>
      <c r="AS128" s="86"/>
      <c r="AT128" s="105">
        <v>0.04</v>
      </c>
      <c r="AU128" s="86"/>
      <c r="AV128" s="86"/>
      <c r="AW128" s="86"/>
      <c r="AX128" s="86"/>
      <c r="AY128" s="86"/>
      <c r="AZ128" s="86"/>
      <c r="BA128" s="86"/>
      <c r="BB128" s="86"/>
      <c r="BC128" s="105"/>
      <c r="BD128" s="86"/>
      <c r="BE128" s="86"/>
      <c r="BF128" s="86"/>
      <c r="BG128" s="105">
        <v>0.33</v>
      </c>
      <c r="BH128" s="442"/>
      <c r="BI128" s="438"/>
      <c r="BJ128" s="443"/>
      <c r="BK128" s="410"/>
      <c r="BL128" s="409"/>
      <c r="BM128" s="437"/>
    </row>
    <row r="129" spans="1:65" s="252" customFormat="1" x14ac:dyDescent="0.25">
      <c r="A129" s="407"/>
      <c r="B129" s="104" t="s">
        <v>196</v>
      </c>
      <c r="C129" s="438"/>
      <c r="D129" s="81" t="s">
        <v>34</v>
      </c>
      <c r="E129" s="103">
        <f>F129+G129</f>
        <v>11.969999999999999</v>
      </c>
      <c r="F129" s="103"/>
      <c r="G129" s="74">
        <f>SUM(H129:BG129)-M129-Q129-U129</f>
        <v>11.969999999999999</v>
      </c>
      <c r="H129" s="88">
        <v>1</v>
      </c>
      <c r="I129" s="88">
        <v>0.5</v>
      </c>
      <c r="J129" s="88"/>
      <c r="K129" s="88">
        <v>1.2</v>
      </c>
      <c r="L129" s="88">
        <v>1.3</v>
      </c>
      <c r="M129" s="88"/>
      <c r="N129" s="88"/>
      <c r="O129" s="88"/>
      <c r="P129" s="88"/>
      <c r="Q129" s="88"/>
      <c r="R129" s="88"/>
      <c r="S129" s="88"/>
      <c r="T129" s="88"/>
      <c r="U129" s="33">
        <f>SUM(V129:X129)</f>
        <v>7.97</v>
      </c>
      <c r="V129" s="88">
        <v>7.97</v>
      </c>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442"/>
      <c r="BI129" s="438"/>
      <c r="BJ129" s="443"/>
      <c r="BK129" s="410"/>
      <c r="BL129" s="409"/>
      <c r="BM129" s="437"/>
    </row>
    <row r="130" spans="1:65" s="252" customFormat="1" ht="31.5" x14ac:dyDescent="0.25">
      <c r="A130" s="215">
        <f>A126+1</f>
        <v>66</v>
      </c>
      <c r="B130" s="221" t="s">
        <v>348</v>
      </c>
      <c r="C130" s="90" t="s">
        <v>349</v>
      </c>
      <c r="D130" s="218" t="s">
        <v>34</v>
      </c>
      <c r="E130" s="20">
        <f t="shared" si="33"/>
        <v>2</v>
      </c>
      <c r="F130" s="21"/>
      <c r="G130" s="73">
        <f t="shared" ref="G130:G138" si="44">SUM(H130:BG130)-M130-Q130-U130</f>
        <v>2</v>
      </c>
      <c r="H130" s="102"/>
      <c r="I130" s="102"/>
      <c r="J130" s="102"/>
      <c r="K130" s="102"/>
      <c r="L130" s="102"/>
      <c r="M130" s="102"/>
      <c r="N130" s="102"/>
      <c r="O130" s="102"/>
      <c r="P130" s="102"/>
      <c r="Q130" s="102"/>
      <c r="R130" s="102"/>
      <c r="S130" s="102"/>
      <c r="T130" s="102"/>
      <c r="U130" s="33">
        <f t="shared" ref="U130:U137" si="45">SUM(V130:X130)</f>
        <v>2</v>
      </c>
      <c r="V130" s="240">
        <v>2</v>
      </c>
      <c r="W130" s="240"/>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235"/>
      <c r="BI130" s="90" t="s">
        <v>349</v>
      </c>
      <c r="BJ130" s="90"/>
      <c r="BK130" s="239" t="s">
        <v>120</v>
      </c>
      <c r="BL130" s="218" t="s">
        <v>1068</v>
      </c>
      <c r="BM130" s="226" t="s">
        <v>1026</v>
      </c>
    </row>
    <row r="131" spans="1:65" s="252" customFormat="1" ht="63" x14ac:dyDescent="0.25">
      <c r="A131" s="215">
        <f t="shared" ref="A131:A137" si="46">A130+1</f>
        <v>67</v>
      </c>
      <c r="B131" s="237" t="s">
        <v>350</v>
      </c>
      <c r="C131" s="226" t="s">
        <v>351</v>
      </c>
      <c r="D131" s="243" t="s">
        <v>34</v>
      </c>
      <c r="E131" s="20">
        <f t="shared" si="33"/>
        <v>1.4</v>
      </c>
      <c r="F131" s="21"/>
      <c r="G131" s="73">
        <f t="shared" si="44"/>
        <v>1.4</v>
      </c>
      <c r="H131" s="247"/>
      <c r="I131" s="102"/>
      <c r="J131" s="102"/>
      <c r="K131" s="238">
        <v>0.5</v>
      </c>
      <c r="L131" s="247"/>
      <c r="M131" s="238"/>
      <c r="N131" s="238"/>
      <c r="O131" s="238"/>
      <c r="P131" s="238"/>
      <c r="Q131" s="238"/>
      <c r="R131" s="238"/>
      <c r="S131" s="238"/>
      <c r="T131" s="238"/>
      <c r="U131" s="33">
        <f t="shared" si="45"/>
        <v>0.9</v>
      </c>
      <c r="V131" s="238">
        <v>0.9</v>
      </c>
      <c r="W131" s="238"/>
      <c r="X131" s="247"/>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38"/>
      <c r="AY131" s="238"/>
      <c r="AZ131" s="238"/>
      <c r="BA131" s="238"/>
      <c r="BB131" s="238"/>
      <c r="BC131" s="238"/>
      <c r="BD131" s="238"/>
      <c r="BE131" s="238"/>
      <c r="BF131" s="238"/>
      <c r="BG131" s="238"/>
      <c r="BH131" s="219"/>
      <c r="BI131" s="226" t="s">
        <v>351</v>
      </c>
      <c r="BJ131" s="226" t="s">
        <v>1053</v>
      </c>
      <c r="BK131" s="239" t="s">
        <v>120</v>
      </c>
      <c r="BL131" s="53" t="s">
        <v>352</v>
      </c>
      <c r="BM131" s="226" t="s">
        <v>1026</v>
      </c>
    </row>
    <row r="132" spans="1:65" s="252" customFormat="1" ht="31.5" x14ac:dyDescent="0.25">
      <c r="A132" s="215">
        <f t="shared" si="46"/>
        <v>68</v>
      </c>
      <c r="B132" s="100" t="s">
        <v>353</v>
      </c>
      <c r="C132" s="232" t="s">
        <v>122</v>
      </c>
      <c r="D132" s="243" t="s">
        <v>34</v>
      </c>
      <c r="E132" s="20">
        <f t="shared" si="33"/>
        <v>0.89999999999999991</v>
      </c>
      <c r="F132" s="28"/>
      <c r="G132" s="73">
        <f t="shared" si="44"/>
        <v>0.89999999999999991</v>
      </c>
      <c r="H132" s="73"/>
      <c r="I132" s="73">
        <v>0.1</v>
      </c>
      <c r="J132" s="238"/>
      <c r="K132" s="73">
        <v>0.2</v>
      </c>
      <c r="L132" s="73">
        <v>0.1</v>
      </c>
      <c r="M132" s="238"/>
      <c r="N132" s="238"/>
      <c r="O132" s="238"/>
      <c r="P132" s="238"/>
      <c r="Q132" s="238"/>
      <c r="R132" s="238"/>
      <c r="S132" s="238"/>
      <c r="T132" s="238"/>
      <c r="U132" s="33">
        <f t="shared" si="45"/>
        <v>0.5</v>
      </c>
      <c r="V132" s="238">
        <v>0.5</v>
      </c>
      <c r="W132" s="238"/>
      <c r="X132" s="238"/>
      <c r="Y132" s="73"/>
      <c r="Z132" s="238"/>
      <c r="AA132" s="238"/>
      <c r="AB132" s="238"/>
      <c r="AC132" s="238"/>
      <c r="AD132" s="238"/>
      <c r="AE132" s="238"/>
      <c r="AF132" s="238"/>
      <c r="AG132" s="238"/>
      <c r="AH132" s="238"/>
      <c r="AI132" s="238"/>
      <c r="AJ132" s="238"/>
      <c r="AK132" s="238"/>
      <c r="AL132" s="238"/>
      <c r="AM132" s="238"/>
      <c r="AN132" s="238"/>
      <c r="AO132" s="238"/>
      <c r="AP132" s="238"/>
      <c r="AQ132" s="238"/>
      <c r="AR132" s="238"/>
      <c r="AS132" s="238"/>
      <c r="AT132" s="73"/>
      <c r="AU132" s="238"/>
      <c r="AV132" s="238"/>
      <c r="AW132" s="238"/>
      <c r="AX132" s="238"/>
      <c r="AY132" s="238"/>
      <c r="AZ132" s="238"/>
      <c r="BA132" s="238"/>
      <c r="BB132" s="238"/>
      <c r="BC132" s="238"/>
      <c r="BD132" s="73"/>
      <c r="BE132" s="238"/>
      <c r="BF132" s="238"/>
      <c r="BG132" s="238"/>
      <c r="BH132" s="235"/>
      <c r="BI132" s="232" t="s">
        <v>122</v>
      </c>
      <c r="BJ132" s="232" t="s">
        <v>1054</v>
      </c>
      <c r="BK132" s="241" t="s">
        <v>398</v>
      </c>
      <c r="BL132" s="243" t="s">
        <v>354</v>
      </c>
      <c r="BM132" s="226" t="s">
        <v>1026</v>
      </c>
    </row>
    <row r="133" spans="1:65" s="252" customFormat="1" ht="63" x14ac:dyDescent="0.25">
      <c r="A133" s="215">
        <f t="shared" si="46"/>
        <v>69</v>
      </c>
      <c r="B133" s="237" t="s">
        <v>355</v>
      </c>
      <c r="C133" s="232" t="s">
        <v>82</v>
      </c>
      <c r="D133" s="243" t="s">
        <v>34</v>
      </c>
      <c r="E133" s="20">
        <f t="shared" si="33"/>
        <v>0.59000000000000008</v>
      </c>
      <c r="F133" s="28">
        <v>0.35</v>
      </c>
      <c r="G133" s="73">
        <f t="shared" si="44"/>
        <v>0.24000000000000005</v>
      </c>
      <c r="H133" s="73"/>
      <c r="I133" s="73">
        <v>0.01</v>
      </c>
      <c r="J133" s="238"/>
      <c r="K133" s="73">
        <v>0.06</v>
      </c>
      <c r="L133" s="73">
        <v>7.0000000000000007E-2</v>
      </c>
      <c r="M133" s="238"/>
      <c r="N133" s="238"/>
      <c r="O133" s="238"/>
      <c r="P133" s="238"/>
      <c r="Q133" s="238"/>
      <c r="R133" s="238"/>
      <c r="S133" s="238"/>
      <c r="T133" s="238"/>
      <c r="U133" s="33">
        <f t="shared" si="45"/>
        <v>0.08</v>
      </c>
      <c r="V133" s="238">
        <v>0.08</v>
      </c>
      <c r="W133" s="238"/>
      <c r="X133" s="247"/>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73"/>
      <c r="AV133" s="238"/>
      <c r="AW133" s="238"/>
      <c r="AX133" s="238"/>
      <c r="AY133" s="238"/>
      <c r="AZ133" s="238"/>
      <c r="BA133" s="238"/>
      <c r="BB133" s="238"/>
      <c r="BC133" s="238"/>
      <c r="BD133" s="73">
        <v>0.02</v>
      </c>
      <c r="BE133" s="238"/>
      <c r="BF133" s="238"/>
      <c r="BG133" s="73"/>
      <c r="BH133" s="235" t="s">
        <v>356</v>
      </c>
      <c r="BI133" s="232" t="s">
        <v>82</v>
      </c>
      <c r="BJ133" s="187" t="s">
        <v>357</v>
      </c>
      <c r="BK133" s="241" t="s">
        <v>68</v>
      </c>
      <c r="BL133" s="53" t="s">
        <v>358</v>
      </c>
      <c r="BM133" s="226" t="s">
        <v>1026</v>
      </c>
    </row>
    <row r="134" spans="1:65" s="252" customFormat="1" ht="31.5" x14ac:dyDescent="0.25">
      <c r="A134" s="215">
        <f t="shared" si="46"/>
        <v>70</v>
      </c>
      <c r="B134" s="237" t="s">
        <v>359</v>
      </c>
      <c r="C134" s="90" t="s">
        <v>138</v>
      </c>
      <c r="D134" s="243" t="s">
        <v>34</v>
      </c>
      <c r="E134" s="20">
        <f t="shared" si="33"/>
        <v>1</v>
      </c>
      <c r="F134" s="28"/>
      <c r="G134" s="73">
        <f t="shared" si="44"/>
        <v>1</v>
      </c>
      <c r="H134" s="102"/>
      <c r="I134" s="102"/>
      <c r="J134" s="102"/>
      <c r="K134" s="102">
        <v>0.23</v>
      </c>
      <c r="L134" s="102">
        <v>0.25</v>
      </c>
      <c r="M134" s="238">
        <v>0</v>
      </c>
      <c r="N134" s="102"/>
      <c r="O134" s="102"/>
      <c r="P134" s="102"/>
      <c r="Q134" s="102"/>
      <c r="R134" s="102"/>
      <c r="S134" s="102"/>
      <c r="T134" s="102"/>
      <c r="U134" s="33">
        <f t="shared" si="45"/>
        <v>0.52</v>
      </c>
      <c r="V134" s="240">
        <v>0.52</v>
      </c>
      <c r="W134" s="240"/>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238"/>
      <c r="AX134" s="240"/>
      <c r="AY134" s="186"/>
      <c r="AZ134" s="238"/>
      <c r="BA134" s="240"/>
      <c r="BB134" s="240"/>
      <c r="BC134" s="102"/>
      <c r="BD134" s="102"/>
      <c r="BE134" s="102"/>
      <c r="BF134" s="102"/>
      <c r="BG134" s="102"/>
      <c r="BH134" s="232"/>
      <c r="BI134" s="90" t="s">
        <v>138</v>
      </c>
      <c r="BJ134" s="243" t="s">
        <v>360</v>
      </c>
      <c r="BK134" s="241" t="s">
        <v>398</v>
      </c>
      <c r="BL134" s="218" t="s">
        <v>361</v>
      </c>
      <c r="BM134" s="226" t="s">
        <v>1026</v>
      </c>
    </row>
    <row r="135" spans="1:65" s="252" customFormat="1" ht="47.25" x14ac:dyDescent="0.25">
      <c r="A135" s="215">
        <f t="shared" si="46"/>
        <v>71</v>
      </c>
      <c r="B135" s="237" t="s">
        <v>362</v>
      </c>
      <c r="C135" s="90" t="s">
        <v>142</v>
      </c>
      <c r="D135" s="243" t="s">
        <v>34</v>
      </c>
      <c r="E135" s="20">
        <f t="shared" si="33"/>
        <v>1</v>
      </c>
      <c r="F135" s="28"/>
      <c r="G135" s="73">
        <f t="shared" si="44"/>
        <v>1</v>
      </c>
      <c r="H135" s="102"/>
      <c r="I135" s="102"/>
      <c r="J135" s="102"/>
      <c r="K135" s="102"/>
      <c r="L135" s="102"/>
      <c r="M135" s="238">
        <v>0</v>
      </c>
      <c r="N135" s="102"/>
      <c r="O135" s="102"/>
      <c r="P135" s="102"/>
      <c r="Q135" s="102"/>
      <c r="R135" s="102"/>
      <c r="S135" s="102"/>
      <c r="T135" s="102"/>
      <c r="U135" s="33">
        <f t="shared" si="45"/>
        <v>1</v>
      </c>
      <c r="V135" s="240">
        <v>1</v>
      </c>
      <c r="W135" s="240"/>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238"/>
      <c r="AX135" s="240"/>
      <c r="AY135" s="186"/>
      <c r="AZ135" s="238"/>
      <c r="BA135" s="240"/>
      <c r="BB135" s="240"/>
      <c r="BC135" s="102"/>
      <c r="BD135" s="102"/>
      <c r="BE135" s="102"/>
      <c r="BF135" s="102"/>
      <c r="BG135" s="102"/>
      <c r="BH135" s="232"/>
      <c r="BI135" s="90" t="s">
        <v>142</v>
      </c>
      <c r="BJ135" s="90" t="s">
        <v>1055</v>
      </c>
      <c r="BK135" s="241" t="s">
        <v>398</v>
      </c>
      <c r="BL135" s="218" t="s">
        <v>361</v>
      </c>
      <c r="BM135" s="226" t="s">
        <v>1026</v>
      </c>
    </row>
    <row r="136" spans="1:65" s="252" customFormat="1" ht="31.5" x14ac:dyDescent="0.25">
      <c r="A136" s="215">
        <f t="shared" si="46"/>
        <v>72</v>
      </c>
      <c r="B136" s="97" t="s">
        <v>363</v>
      </c>
      <c r="C136" s="36" t="s">
        <v>91</v>
      </c>
      <c r="D136" s="243" t="s">
        <v>34</v>
      </c>
      <c r="E136" s="20">
        <f t="shared" si="33"/>
        <v>1.0100000000000002</v>
      </c>
      <c r="F136" s="21">
        <v>0.3</v>
      </c>
      <c r="G136" s="73">
        <f t="shared" si="44"/>
        <v>0.71000000000000019</v>
      </c>
      <c r="H136" s="247">
        <v>0.1</v>
      </c>
      <c r="I136" s="102"/>
      <c r="J136" s="102"/>
      <c r="K136" s="238">
        <v>0.05</v>
      </c>
      <c r="L136" s="247"/>
      <c r="M136" s="238">
        <f>SUM(N136:P136)</f>
        <v>0</v>
      </c>
      <c r="N136" s="238"/>
      <c r="O136" s="238"/>
      <c r="P136" s="238"/>
      <c r="Q136" s="238">
        <f>R136+S136+T136</f>
        <v>0</v>
      </c>
      <c r="R136" s="238"/>
      <c r="S136" s="238"/>
      <c r="T136" s="238"/>
      <c r="U136" s="33">
        <f t="shared" si="45"/>
        <v>0.45</v>
      </c>
      <c r="V136" s="238">
        <v>0.45</v>
      </c>
      <c r="W136" s="238"/>
      <c r="X136" s="247"/>
      <c r="Y136" s="238"/>
      <c r="Z136" s="238"/>
      <c r="AA136" s="238"/>
      <c r="AB136" s="238"/>
      <c r="AC136" s="238"/>
      <c r="AD136" s="238"/>
      <c r="AE136" s="238"/>
      <c r="AF136" s="238"/>
      <c r="AG136" s="238"/>
      <c r="AH136" s="238"/>
      <c r="AI136" s="238"/>
      <c r="AJ136" s="238"/>
      <c r="AK136" s="238"/>
      <c r="AL136" s="238"/>
      <c r="AM136" s="238"/>
      <c r="AN136" s="238"/>
      <c r="AO136" s="238"/>
      <c r="AP136" s="238"/>
      <c r="AQ136" s="238"/>
      <c r="AR136" s="238"/>
      <c r="AS136" s="238"/>
      <c r="AT136" s="247">
        <v>0.11</v>
      </c>
      <c r="AU136" s="238"/>
      <c r="AV136" s="238"/>
      <c r="AW136" s="238"/>
      <c r="AX136" s="238"/>
      <c r="AY136" s="238"/>
      <c r="AZ136" s="238"/>
      <c r="BA136" s="238"/>
      <c r="BB136" s="238"/>
      <c r="BC136" s="238"/>
      <c r="BD136" s="238"/>
      <c r="BE136" s="238"/>
      <c r="BF136" s="238"/>
      <c r="BG136" s="238"/>
      <c r="BH136" s="232" t="s">
        <v>1023</v>
      </c>
      <c r="BI136" s="36" t="s">
        <v>91</v>
      </c>
      <c r="BJ136" s="36" t="s">
        <v>1056</v>
      </c>
      <c r="BK136" s="241" t="s">
        <v>398</v>
      </c>
      <c r="BL136" s="218" t="s">
        <v>361</v>
      </c>
      <c r="BM136" s="226" t="s">
        <v>1026</v>
      </c>
    </row>
    <row r="137" spans="1:65" s="252" customFormat="1" ht="63" x14ac:dyDescent="0.25">
      <c r="A137" s="215">
        <f t="shared" si="46"/>
        <v>73</v>
      </c>
      <c r="B137" s="237" t="s">
        <v>364</v>
      </c>
      <c r="C137" s="232" t="s">
        <v>154</v>
      </c>
      <c r="D137" s="243" t="s">
        <v>34</v>
      </c>
      <c r="E137" s="20">
        <f t="shared" si="33"/>
        <v>1.26</v>
      </c>
      <c r="F137" s="21">
        <v>0.71</v>
      </c>
      <c r="G137" s="73">
        <f t="shared" si="44"/>
        <v>0.55000000000000004</v>
      </c>
      <c r="H137" s="109"/>
      <c r="I137" s="109"/>
      <c r="J137" s="109"/>
      <c r="K137" s="109"/>
      <c r="L137" s="109"/>
      <c r="M137" s="109"/>
      <c r="N137" s="109"/>
      <c r="O137" s="109"/>
      <c r="P137" s="109"/>
      <c r="Q137" s="109"/>
      <c r="R137" s="109"/>
      <c r="S137" s="109"/>
      <c r="T137" s="109"/>
      <c r="U137" s="33">
        <f t="shared" si="45"/>
        <v>0.55000000000000004</v>
      </c>
      <c r="V137" s="109">
        <v>0.55000000000000004</v>
      </c>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235" t="s">
        <v>365</v>
      </c>
      <c r="BI137" s="232" t="s">
        <v>154</v>
      </c>
      <c r="BJ137" s="232" t="s">
        <v>366</v>
      </c>
      <c r="BK137" s="241" t="s">
        <v>68</v>
      </c>
      <c r="BL137" s="53" t="s">
        <v>358</v>
      </c>
      <c r="BM137" s="226" t="s">
        <v>206</v>
      </c>
    </row>
    <row r="138" spans="1:65" s="252" customFormat="1" ht="110.25" x14ac:dyDescent="0.25">
      <c r="A138" s="215">
        <f>A137+1</f>
        <v>74</v>
      </c>
      <c r="B138" s="237" t="s">
        <v>367</v>
      </c>
      <c r="C138" s="232" t="s">
        <v>1087</v>
      </c>
      <c r="D138" s="243" t="s">
        <v>34</v>
      </c>
      <c r="E138" s="20">
        <f t="shared" si="33"/>
        <v>20</v>
      </c>
      <c r="F138" s="21">
        <v>20</v>
      </c>
      <c r="G138" s="73">
        <f t="shared" si="44"/>
        <v>0</v>
      </c>
      <c r="H138" s="109"/>
      <c r="I138" s="109"/>
      <c r="J138" s="109"/>
      <c r="K138" s="109"/>
      <c r="L138" s="109"/>
      <c r="M138" s="109"/>
      <c r="N138" s="109"/>
      <c r="O138" s="109"/>
      <c r="P138" s="109"/>
      <c r="Q138" s="109"/>
      <c r="R138" s="109"/>
      <c r="S138" s="109"/>
      <c r="T138" s="109"/>
      <c r="U138" s="33"/>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235"/>
      <c r="BI138" s="232" t="s">
        <v>1087</v>
      </c>
      <c r="BJ138" s="232"/>
      <c r="BK138" s="241" t="s">
        <v>74</v>
      </c>
      <c r="BL138" s="53" t="s">
        <v>1111</v>
      </c>
      <c r="BM138" s="218" t="s">
        <v>206</v>
      </c>
    </row>
    <row r="139" spans="1:65" s="254" customFormat="1" x14ac:dyDescent="0.25">
      <c r="A139" s="98" t="s">
        <v>330</v>
      </c>
      <c r="B139" s="99" t="s">
        <v>368</v>
      </c>
      <c r="C139" s="58"/>
      <c r="D139" s="44"/>
      <c r="E139" s="47">
        <f>E140+E141+E142+E146+E147</f>
        <v>117.26999999999998</v>
      </c>
      <c r="F139" s="47">
        <f>SUM(F147:F153)</f>
        <v>0.41000000000000003</v>
      </c>
      <c r="G139" s="47">
        <f>G140+G141+G142+G146+G147</f>
        <v>110.77</v>
      </c>
      <c r="H139" s="47">
        <f>H140+H141+H142+H146+H147</f>
        <v>35.209999999999994</v>
      </c>
      <c r="I139" s="47">
        <f t="shared" ref="I139:BG139" si="47">I140+I141+I142+I146+I147</f>
        <v>3.33</v>
      </c>
      <c r="J139" s="47">
        <f t="shared" si="47"/>
        <v>0</v>
      </c>
      <c r="K139" s="47">
        <f t="shared" si="47"/>
        <v>10.020000000000001</v>
      </c>
      <c r="L139" s="47">
        <f t="shared" si="47"/>
        <v>6.77</v>
      </c>
      <c r="M139" s="47">
        <f t="shared" si="47"/>
        <v>0</v>
      </c>
      <c r="N139" s="47">
        <f t="shared" si="47"/>
        <v>0</v>
      </c>
      <c r="O139" s="47">
        <f t="shared" si="47"/>
        <v>0</v>
      </c>
      <c r="P139" s="47">
        <f t="shared" si="47"/>
        <v>0</v>
      </c>
      <c r="Q139" s="47">
        <f t="shared" si="47"/>
        <v>0</v>
      </c>
      <c r="R139" s="47">
        <f t="shared" si="47"/>
        <v>0</v>
      </c>
      <c r="S139" s="47">
        <f t="shared" si="47"/>
        <v>0</v>
      </c>
      <c r="T139" s="47">
        <f t="shared" si="47"/>
        <v>0</v>
      </c>
      <c r="U139" s="47">
        <f t="shared" si="47"/>
        <v>48.9</v>
      </c>
      <c r="V139" s="47">
        <f t="shared" si="47"/>
        <v>31.69</v>
      </c>
      <c r="W139" s="47">
        <f t="shared" si="47"/>
        <v>17.209999999999997</v>
      </c>
      <c r="X139" s="47">
        <f t="shared" si="47"/>
        <v>0</v>
      </c>
      <c r="Y139" s="47">
        <f t="shared" si="47"/>
        <v>1.05</v>
      </c>
      <c r="Z139" s="47">
        <f t="shared" si="47"/>
        <v>0</v>
      </c>
      <c r="AA139" s="47">
        <f t="shared" si="47"/>
        <v>0</v>
      </c>
      <c r="AB139" s="47">
        <f t="shared" si="47"/>
        <v>0</v>
      </c>
      <c r="AC139" s="47">
        <f t="shared" si="47"/>
        <v>0</v>
      </c>
      <c r="AD139" s="47">
        <f t="shared" si="47"/>
        <v>0</v>
      </c>
      <c r="AE139" s="47">
        <f t="shared" si="47"/>
        <v>0</v>
      </c>
      <c r="AF139" s="47">
        <f t="shared" si="47"/>
        <v>0</v>
      </c>
      <c r="AG139" s="47">
        <f t="shared" si="47"/>
        <v>0.11</v>
      </c>
      <c r="AH139" s="47">
        <f t="shared" si="47"/>
        <v>0</v>
      </c>
      <c r="AI139" s="47">
        <f t="shared" si="47"/>
        <v>0</v>
      </c>
      <c r="AJ139" s="47">
        <f t="shared" si="47"/>
        <v>0</v>
      </c>
      <c r="AK139" s="47">
        <f t="shared" si="47"/>
        <v>0</v>
      </c>
      <c r="AL139" s="47">
        <f t="shared" si="47"/>
        <v>0.17</v>
      </c>
      <c r="AM139" s="47">
        <f t="shared" si="47"/>
        <v>0</v>
      </c>
      <c r="AN139" s="47">
        <f t="shared" si="47"/>
        <v>0</v>
      </c>
      <c r="AO139" s="47">
        <f t="shared" si="47"/>
        <v>0</v>
      </c>
      <c r="AP139" s="47">
        <f t="shared" si="47"/>
        <v>0</v>
      </c>
      <c r="AQ139" s="47">
        <f t="shared" si="47"/>
        <v>0</v>
      </c>
      <c r="AR139" s="47">
        <f t="shared" si="47"/>
        <v>0</v>
      </c>
      <c r="AS139" s="47">
        <f t="shared" si="47"/>
        <v>0</v>
      </c>
      <c r="AT139" s="47">
        <f t="shared" si="47"/>
        <v>1.7399999999999998</v>
      </c>
      <c r="AU139" s="47">
        <f t="shared" si="47"/>
        <v>0</v>
      </c>
      <c r="AV139" s="47">
        <f t="shared" si="47"/>
        <v>0</v>
      </c>
      <c r="AW139" s="47">
        <f t="shared" si="47"/>
        <v>0</v>
      </c>
      <c r="AX139" s="47">
        <f t="shared" si="47"/>
        <v>0.01</v>
      </c>
      <c r="AY139" s="47">
        <f t="shared" si="47"/>
        <v>0</v>
      </c>
      <c r="AZ139" s="47">
        <f t="shared" si="47"/>
        <v>0</v>
      </c>
      <c r="BA139" s="47">
        <f t="shared" si="47"/>
        <v>0</v>
      </c>
      <c r="BB139" s="47">
        <f t="shared" si="47"/>
        <v>0</v>
      </c>
      <c r="BC139" s="47">
        <f t="shared" si="47"/>
        <v>0.05</v>
      </c>
      <c r="BD139" s="47">
        <f t="shared" si="47"/>
        <v>2.0099999999999998</v>
      </c>
      <c r="BE139" s="47">
        <f t="shared" si="47"/>
        <v>0</v>
      </c>
      <c r="BF139" s="47">
        <f t="shared" si="47"/>
        <v>0</v>
      </c>
      <c r="BG139" s="47">
        <f t="shared" si="47"/>
        <v>1.4</v>
      </c>
      <c r="BH139" s="231"/>
      <c r="BI139" s="58"/>
      <c r="BJ139" s="58"/>
      <c r="BK139" s="228"/>
      <c r="BL139" s="229"/>
      <c r="BM139" s="58"/>
    </row>
    <row r="140" spans="1:65" s="252" customFormat="1" ht="36.75" customHeight="1" x14ac:dyDescent="0.25">
      <c r="A140" s="215">
        <f>A138+1</f>
        <v>75</v>
      </c>
      <c r="B140" s="188" t="s">
        <v>369</v>
      </c>
      <c r="C140" s="79" t="s">
        <v>71</v>
      </c>
      <c r="D140" s="243" t="s">
        <v>34</v>
      </c>
      <c r="E140" s="20">
        <f t="shared" ref="E140:E152" si="48">F140+G140</f>
        <v>49.999999999999986</v>
      </c>
      <c r="F140" s="235">
        <f>5.94+0.46</f>
        <v>6.4</v>
      </c>
      <c r="G140" s="73">
        <f>SUM(H140:BG140)-M140-Q140-U140</f>
        <v>43.599999999999987</v>
      </c>
      <c r="H140" s="60">
        <v>29.65</v>
      </c>
      <c r="I140" s="60">
        <v>0.83</v>
      </c>
      <c r="J140" s="60"/>
      <c r="K140" s="60">
        <f>3.42-0.5</f>
        <v>2.92</v>
      </c>
      <c r="L140" s="60">
        <v>0.43</v>
      </c>
      <c r="M140" s="235"/>
      <c r="N140" s="235"/>
      <c r="O140" s="235"/>
      <c r="P140" s="235"/>
      <c r="Q140" s="235"/>
      <c r="R140" s="235"/>
      <c r="S140" s="235"/>
      <c r="T140" s="235"/>
      <c r="U140" s="33">
        <f>SUM(V140:X140)</f>
        <v>3.83</v>
      </c>
      <c r="V140" s="235"/>
      <c r="W140" s="235">
        <f>3.33+0.5</f>
        <v>3.83</v>
      </c>
      <c r="X140" s="235"/>
      <c r="Y140" s="235">
        <v>1.05</v>
      </c>
      <c r="Z140" s="235"/>
      <c r="AA140" s="235"/>
      <c r="AB140" s="235"/>
      <c r="AC140" s="235"/>
      <c r="AD140" s="235"/>
      <c r="AE140" s="235"/>
      <c r="AF140" s="235"/>
      <c r="AG140" s="235">
        <v>0.11</v>
      </c>
      <c r="AH140" s="235"/>
      <c r="AI140" s="235"/>
      <c r="AJ140" s="235"/>
      <c r="AK140" s="235"/>
      <c r="AL140" s="235">
        <v>0.17</v>
      </c>
      <c r="AM140" s="235"/>
      <c r="AN140" s="235"/>
      <c r="AO140" s="235"/>
      <c r="AP140" s="235"/>
      <c r="AQ140" s="235"/>
      <c r="AR140" s="235"/>
      <c r="AS140" s="235"/>
      <c r="AT140" s="235">
        <v>1.1399999999999999</v>
      </c>
      <c r="AU140" s="235"/>
      <c r="AV140" s="235"/>
      <c r="AW140" s="235"/>
      <c r="AX140" s="235">
        <v>0.01</v>
      </c>
      <c r="AY140" s="235"/>
      <c r="AZ140" s="235"/>
      <c r="BA140" s="235"/>
      <c r="BB140" s="235"/>
      <c r="BC140" s="235">
        <v>0.05</v>
      </c>
      <c r="BD140" s="235">
        <v>2.0099999999999998</v>
      </c>
      <c r="BE140" s="235"/>
      <c r="BF140" s="235"/>
      <c r="BG140" s="235">
        <v>1.4</v>
      </c>
      <c r="BH140" s="232" t="s">
        <v>370</v>
      </c>
      <c r="BI140" s="79" t="s">
        <v>71</v>
      </c>
      <c r="BJ140" s="236" t="s">
        <v>1002</v>
      </c>
      <c r="BK140" s="241" t="s">
        <v>74</v>
      </c>
      <c r="BL140" s="218" t="s">
        <v>371</v>
      </c>
      <c r="BM140" s="218" t="s">
        <v>206</v>
      </c>
    </row>
    <row r="141" spans="1:65" s="252" customFormat="1" ht="36.75" customHeight="1" x14ac:dyDescent="0.25">
      <c r="A141" s="215">
        <f>A140+1</f>
        <v>76</v>
      </c>
      <c r="B141" s="94" t="s">
        <v>372</v>
      </c>
      <c r="C141" s="226" t="s">
        <v>71</v>
      </c>
      <c r="D141" s="243" t="s">
        <v>34</v>
      </c>
      <c r="E141" s="20">
        <f t="shared" si="48"/>
        <v>8.93</v>
      </c>
      <c r="F141" s="21"/>
      <c r="G141" s="73">
        <f>SUM(H141:BG141)-M141-Q141-U141</f>
        <v>8.93</v>
      </c>
      <c r="H141" s="235"/>
      <c r="I141" s="235"/>
      <c r="J141" s="235"/>
      <c r="K141" s="235"/>
      <c r="L141" s="235"/>
      <c r="M141" s="235">
        <f>SUM(N141:P141)</f>
        <v>0</v>
      </c>
      <c r="N141" s="235"/>
      <c r="O141" s="235"/>
      <c r="P141" s="235"/>
      <c r="Q141" s="33">
        <f>R141+S141+T141</f>
        <v>0</v>
      </c>
      <c r="R141" s="235"/>
      <c r="S141" s="235"/>
      <c r="T141" s="235"/>
      <c r="U141" s="33">
        <f>SUM(V141:X141)</f>
        <v>8.93</v>
      </c>
      <c r="V141" s="235"/>
      <c r="W141" s="235">
        <f>6.93+2</f>
        <v>8.93</v>
      </c>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55" t="s">
        <v>373</v>
      </c>
      <c r="BI141" s="226" t="s">
        <v>71</v>
      </c>
      <c r="BJ141" s="226" t="s">
        <v>278</v>
      </c>
      <c r="BK141" s="185" t="s">
        <v>1057</v>
      </c>
      <c r="BL141" s="218" t="s">
        <v>371</v>
      </c>
      <c r="BM141" s="226" t="s">
        <v>1026</v>
      </c>
    </row>
    <row r="142" spans="1:65" s="252" customFormat="1" ht="47.25" x14ac:dyDescent="0.25">
      <c r="A142" s="215">
        <f>A141+1</f>
        <v>77</v>
      </c>
      <c r="B142" s="94" t="s">
        <v>374</v>
      </c>
      <c r="C142" s="226" t="s">
        <v>71</v>
      </c>
      <c r="D142" s="243" t="s">
        <v>34</v>
      </c>
      <c r="E142" s="20">
        <f t="shared" si="48"/>
        <v>8.6999999999999993</v>
      </c>
      <c r="F142" s="21"/>
      <c r="G142" s="73">
        <f>SUM(H142:BG142)-M142-Q142-U142</f>
        <v>8.6999999999999993</v>
      </c>
      <c r="H142" s="238">
        <v>3.23</v>
      </c>
      <c r="I142" s="238">
        <v>1</v>
      </c>
      <c r="J142" s="238"/>
      <c r="K142" s="238">
        <f>2.98+0.59-0.6</f>
        <v>2.9699999999999998</v>
      </c>
      <c r="L142" s="238"/>
      <c r="M142" s="238"/>
      <c r="N142" s="238"/>
      <c r="O142" s="238"/>
      <c r="P142" s="238"/>
      <c r="Q142" s="238"/>
      <c r="R142" s="238"/>
      <c r="S142" s="238"/>
      <c r="T142" s="238"/>
      <c r="U142" s="33">
        <f>SUM(V142:X142)</f>
        <v>1.5</v>
      </c>
      <c r="V142" s="238">
        <v>1.5</v>
      </c>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5" t="s">
        <v>72</v>
      </c>
      <c r="BI142" s="226" t="s">
        <v>71</v>
      </c>
      <c r="BJ142" s="226" t="s">
        <v>278</v>
      </c>
      <c r="BK142" s="241" t="s">
        <v>375</v>
      </c>
      <c r="BL142" s="218" t="s">
        <v>376</v>
      </c>
      <c r="BM142" s="226" t="s">
        <v>1026</v>
      </c>
    </row>
    <row r="143" spans="1:65" s="252" customFormat="1" ht="47.25" x14ac:dyDescent="0.25">
      <c r="A143" s="215">
        <f>A142+1</f>
        <v>78</v>
      </c>
      <c r="B143" s="189" t="s">
        <v>377</v>
      </c>
      <c r="C143" s="79" t="s">
        <v>71</v>
      </c>
      <c r="D143" s="218"/>
      <c r="E143" s="28">
        <f t="shared" si="48"/>
        <v>58.08</v>
      </c>
      <c r="F143" s="20"/>
      <c r="G143" s="28">
        <f>SUM(H143:M143,Q143,U143,Y143:BG143)</f>
        <v>58.08</v>
      </c>
      <c r="H143" s="222">
        <f>SUM(H144:H146)</f>
        <v>2.71</v>
      </c>
      <c r="I143" s="222">
        <f t="shared" ref="I143:BG143" si="49">SUM(I144:I146)</f>
        <v>1.5</v>
      </c>
      <c r="J143" s="222">
        <f t="shared" si="49"/>
        <v>0</v>
      </c>
      <c r="K143" s="222">
        <f t="shared" si="49"/>
        <v>5.1899999999999995</v>
      </c>
      <c r="L143" s="222">
        <f t="shared" si="49"/>
        <v>6</v>
      </c>
      <c r="M143" s="222">
        <f t="shared" si="49"/>
        <v>0</v>
      </c>
      <c r="N143" s="222">
        <f t="shared" si="49"/>
        <v>0</v>
      </c>
      <c r="O143" s="222">
        <f t="shared" si="49"/>
        <v>0</v>
      </c>
      <c r="P143" s="222">
        <f t="shared" si="49"/>
        <v>0</v>
      </c>
      <c r="Q143" s="222">
        <f t="shared" si="49"/>
        <v>0</v>
      </c>
      <c r="R143" s="222">
        <f t="shared" si="49"/>
        <v>0</v>
      </c>
      <c r="S143" s="222">
        <f t="shared" si="49"/>
        <v>0</v>
      </c>
      <c r="T143" s="222">
        <f t="shared" si="49"/>
        <v>0</v>
      </c>
      <c r="U143" s="222">
        <f t="shared" si="49"/>
        <v>39.44</v>
      </c>
      <c r="V143" s="222">
        <f>SUM(V144:V146)</f>
        <v>35.049999999999997</v>
      </c>
      <c r="W143" s="222">
        <f t="shared" si="49"/>
        <v>4.3899999999999997</v>
      </c>
      <c r="X143" s="222">
        <f t="shared" si="49"/>
        <v>0</v>
      </c>
      <c r="Y143" s="222">
        <f t="shared" si="49"/>
        <v>0</v>
      </c>
      <c r="Z143" s="222">
        <f t="shared" si="49"/>
        <v>0</v>
      </c>
      <c r="AA143" s="222">
        <f t="shared" si="49"/>
        <v>0</v>
      </c>
      <c r="AB143" s="222">
        <f t="shared" si="49"/>
        <v>0</v>
      </c>
      <c r="AC143" s="222">
        <f t="shared" si="49"/>
        <v>0</v>
      </c>
      <c r="AD143" s="222">
        <f t="shared" si="49"/>
        <v>0</v>
      </c>
      <c r="AE143" s="222">
        <f t="shared" si="49"/>
        <v>0</v>
      </c>
      <c r="AF143" s="222">
        <f t="shared" si="49"/>
        <v>0.1</v>
      </c>
      <c r="AG143" s="222">
        <f t="shared" si="49"/>
        <v>0</v>
      </c>
      <c r="AH143" s="222">
        <f t="shared" si="49"/>
        <v>0</v>
      </c>
      <c r="AI143" s="222">
        <f t="shared" si="49"/>
        <v>0</v>
      </c>
      <c r="AJ143" s="222">
        <f t="shared" si="49"/>
        <v>0</v>
      </c>
      <c r="AK143" s="222">
        <f t="shared" si="49"/>
        <v>0</v>
      </c>
      <c r="AL143" s="222">
        <f t="shared" si="49"/>
        <v>0</v>
      </c>
      <c r="AM143" s="222">
        <f t="shared" si="49"/>
        <v>0</v>
      </c>
      <c r="AN143" s="222">
        <f t="shared" si="49"/>
        <v>0</v>
      </c>
      <c r="AO143" s="222">
        <f t="shared" si="49"/>
        <v>0</v>
      </c>
      <c r="AP143" s="222">
        <f t="shared" si="49"/>
        <v>0</v>
      </c>
      <c r="AQ143" s="222">
        <f t="shared" si="49"/>
        <v>0</v>
      </c>
      <c r="AR143" s="222">
        <f t="shared" si="49"/>
        <v>0</v>
      </c>
      <c r="AS143" s="222">
        <f t="shared" si="49"/>
        <v>0</v>
      </c>
      <c r="AT143" s="222">
        <f t="shared" si="49"/>
        <v>0</v>
      </c>
      <c r="AU143" s="222">
        <f t="shared" si="49"/>
        <v>0</v>
      </c>
      <c r="AV143" s="222">
        <f t="shared" si="49"/>
        <v>0</v>
      </c>
      <c r="AW143" s="222">
        <f t="shared" si="49"/>
        <v>0</v>
      </c>
      <c r="AX143" s="222">
        <f t="shared" si="49"/>
        <v>0</v>
      </c>
      <c r="AY143" s="222">
        <f t="shared" si="49"/>
        <v>0</v>
      </c>
      <c r="AZ143" s="222">
        <f t="shared" si="49"/>
        <v>0</v>
      </c>
      <c r="BA143" s="222">
        <f t="shared" si="49"/>
        <v>0</v>
      </c>
      <c r="BB143" s="222">
        <f t="shared" si="49"/>
        <v>0</v>
      </c>
      <c r="BC143" s="222">
        <f t="shared" si="49"/>
        <v>0</v>
      </c>
      <c r="BD143" s="222">
        <f t="shared" si="49"/>
        <v>0</v>
      </c>
      <c r="BE143" s="222">
        <f t="shared" si="49"/>
        <v>0</v>
      </c>
      <c r="BF143" s="222">
        <f t="shared" si="49"/>
        <v>0</v>
      </c>
      <c r="BG143" s="222">
        <f t="shared" si="49"/>
        <v>3.14</v>
      </c>
      <c r="BH143" s="235" t="s">
        <v>1042</v>
      </c>
      <c r="BI143" s="79" t="s">
        <v>71</v>
      </c>
      <c r="BJ143" s="236" t="s">
        <v>1001</v>
      </c>
      <c r="BK143" s="25" t="s">
        <v>398</v>
      </c>
      <c r="BL143" s="218" t="s">
        <v>378</v>
      </c>
      <c r="BM143" s="226" t="s">
        <v>1026</v>
      </c>
    </row>
    <row r="144" spans="1:65" s="255" customFormat="1" ht="24" customHeight="1" x14ac:dyDescent="0.25">
      <c r="A144" s="244"/>
      <c r="B144" s="104" t="s">
        <v>379</v>
      </c>
      <c r="C144" s="110" t="s">
        <v>71</v>
      </c>
      <c r="D144" s="81" t="s">
        <v>31</v>
      </c>
      <c r="E144" s="103">
        <f t="shared" si="48"/>
        <v>7.61</v>
      </c>
      <c r="F144" s="103"/>
      <c r="G144" s="74">
        <f>SUM(H144:BG144)-M144-Q144-U144</f>
        <v>7.61</v>
      </c>
      <c r="H144" s="108">
        <v>0.71</v>
      </c>
      <c r="I144" s="88"/>
      <c r="J144" s="88"/>
      <c r="K144" s="111">
        <f>1.54+0.15</f>
        <v>1.69</v>
      </c>
      <c r="L144" s="88"/>
      <c r="M144" s="86">
        <f>SUM(N144:P144)</f>
        <v>0</v>
      </c>
      <c r="N144" s="88"/>
      <c r="O144" s="108"/>
      <c r="P144" s="88"/>
      <c r="Q144" s="83">
        <f>R144+S144+T144</f>
        <v>0</v>
      </c>
      <c r="R144" s="88"/>
      <c r="S144" s="88"/>
      <c r="T144" s="88"/>
      <c r="U144" s="83">
        <f t="shared" ref="U144:U149" si="50">SUM(V144:X144)</f>
        <v>1.97</v>
      </c>
      <c r="V144" s="88">
        <v>1.97</v>
      </c>
      <c r="W144" s="88"/>
      <c r="X144" s="88"/>
      <c r="Y144" s="88"/>
      <c r="Z144" s="88"/>
      <c r="AA144" s="88"/>
      <c r="AB144" s="88"/>
      <c r="AC144" s="88"/>
      <c r="AD144" s="88"/>
      <c r="AE144" s="88"/>
      <c r="AF144" s="88">
        <v>0.1</v>
      </c>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106">
        <f>3.29-0.15</f>
        <v>3.14</v>
      </c>
      <c r="BH144" s="86" t="s">
        <v>380</v>
      </c>
      <c r="BI144" s="110" t="s">
        <v>71</v>
      </c>
      <c r="BJ144" s="110"/>
      <c r="BK144" s="112" t="s">
        <v>398</v>
      </c>
      <c r="BL144" s="107"/>
      <c r="BM144" s="107"/>
    </row>
    <row r="145" spans="1:65" s="255" customFormat="1" ht="24" customHeight="1" x14ac:dyDescent="0.25">
      <c r="A145" s="113"/>
      <c r="B145" s="114" t="s">
        <v>381</v>
      </c>
      <c r="C145" s="115" t="s">
        <v>71</v>
      </c>
      <c r="D145" s="107" t="s">
        <v>32</v>
      </c>
      <c r="E145" s="82">
        <f t="shared" si="48"/>
        <v>3.33</v>
      </c>
      <c r="F145" s="103"/>
      <c r="G145" s="82">
        <f>SUM(H145:M145,Q145,U145,Y145:BG145)</f>
        <v>3.33</v>
      </c>
      <c r="H145" s="88"/>
      <c r="I145" s="88"/>
      <c r="J145" s="88"/>
      <c r="K145" s="88"/>
      <c r="L145" s="86"/>
      <c r="M145" s="88"/>
      <c r="N145" s="88"/>
      <c r="O145" s="88"/>
      <c r="P145" s="88"/>
      <c r="Q145" s="88"/>
      <c r="R145" s="88"/>
      <c r="S145" s="88"/>
      <c r="T145" s="83"/>
      <c r="U145" s="83">
        <f t="shared" si="50"/>
        <v>3.33</v>
      </c>
      <c r="V145" s="88">
        <v>3.33</v>
      </c>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6"/>
      <c r="BH145" s="86" t="s">
        <v>380</v>
      </c>
      <c r="BI145" s="115" t="s">
        <v>71</v>
      </c>
      <c r="BJ145" s="115"/>
      <c r="BK145" s="112" t="s">
        <v>398</v>
      </c>
      <c r="BL145" s="107"/>
      <c r="BM145" s="107"/>
    </row>
    <row r="146" spans="1:65" s="255" customFormat="1" ht="24" customHeight="1" x14ac:dyDescent="0.25">
      <c r="A146" s="244"/>
      <c r="B146" s="116" t="s">
        <v>196</v>
      </c>
      <c r="C146" s="110" t="s">
        <v>71</v>
      </c>
      <c r="D146" s="81" t="s">
        <v>34</v>
      </c>
      <c r="E146" s="82">
        <f t="shared" si="48"/>
        <v>47.14</v>
      </c>
      <c r="F146" s="117"/>
      <c r="G146" s="74">
        <f t="shared" ref="G146:G151" si="51">SUM(H146:BG146)-M146-Q146-U146</f>
        <v>47.14</v>
      </c>
      <c r="H146" s="86">
        <v>2</v>
      </c>
      <c r="I146" s="86">
        <v>1.5</v>
      </c>
      <c r="J146" s="86"/>
      <c r="K146" s="86">
        <f>4.5-1</f>
        <v>3.5</v>
      </c>
      <c r="L146" s="86">
        <v>6</v>
      </c>
      <c r="M146" s="86"/>
      <c r="N146" s="86"/>
      <c r="O146" s="86"/>
      <c r="P146" s="86"/>
      <c r="Q146" s="83"/>
      <c r="R146" s="86"/>
      <c r="S146" s="86"/>
      <c r="T146" s="86"/>
      <c r="U146" s="83">
        <f t="shared" si="50"/>
        <v>34.14</v>
      </c>
      <c r="V146" s="86">
        <f>29.35-0.6+1</f>
        <v>29.75</v>
      </c>
      <c r="W146" s="86">
        <f>3.79+0.6</f>
        <v>4.3899999999999997</v>
      </c>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t="s">
        <v>380</v>
      </c>
      <c r="BI146" s="110" t="s">
        <v>71</v>
      </c>
      <c r="BJ146" s="110"/>
      <c r="BK146" s="112" t="s">
        <v>398</v>
      </c>
      <c r="BL146" s="107"/>
      <c r="BM146" s="107"/>
    </row>
    <row r="147" spans="1:65" s="252" customFormat="1" ht="63" x14ac:dyDescent="0.25">
      <c r="A147" s="245">
        <f>A143+1</f>
        <v>79</v>
      </c>
      <c r="B147" s="118" t="s">
        <v>382</v>
      </c>
      <c r="C147" s="223" t="s">
        <v>142</v>
      </c>
      <c r="D147" s="243" t="s">
        <v>34</v>
      </c>
      <c r="E147" s="20">
        <f t="shared" si="48"/>
        <v>2.5000000000000004</v>
      </c>
      <c r="F147" s="238">
        <v>0.1</v>
      </c>
      <c r="G147" s="74">
        <f t="shared" si="51"/>
        <v>2.4000000000000004</v>
      </c>
      <c r="H147" s="238">
        <v>0.33</v>
      </c>
      <c r="I147" s="238"/>
      <c r="J147" s="238"/>
      <c r="K147" s="238">
        <v>0.63</v>
      </c>
      <c r="L147" s="238">
        <v>0.34</v>
      </c>
      <c r="M147" s="238">
        <f>SUM(N147:P147)</f>
        <v>0</v>
      </c>
      <c r="N147" s="238"/>
      <c r="O147" s="238"/>
      <c r="P147" s="238"/>
      <c r="Q147" s="238">
        <f>SUM(R147:T147)</f>
        <v>0</v>
      </c>
      <c r="R147" s="238"/>
      <c r="S147" s="238"/>
      <c r="T147" s="238"/>
      <c r="U147" s="33">
        <f t="shared" si="50"/>
        <v>0.5</v>
      </c>
      <c r="V147" s="238">
        <v>0.44</v>
      </c>
      <c r="W147" s="238">
        <v>0.06</v>
      </c>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v>0.6</v>
      </c>
      <c r="AU147" s="238"/>
      <c r="AV147" s="238"/>
      <c r="AW147" s="238"/>
      <c r="AX147" s="238"/>
      <c r="AY147" s="238"/>
      <c r="AZ147" s="238"/>
      <c r="BA147" s="238"/>
      <c r="BB147" s="238"/>
      <c r="BC147" s="238"/>
      <c r="BD147" s="238"/>
      <c r="BE147" s="238"/>
      <c r="BF147" s="238"/>
      <c r="BG147" s="238"/>
      <c r="BH147" s="235" t="s">
        <v>215</v>
      </c>
      <c r="BI147" s="223" t="s">
        <v>142</v>
      </c>
      <c r="BJ147" s="243" t="s">
        <v>383</v>
      </c>
      <c r="BK147" s="220" t="s">
        <v>120</v>
      </c>
      <c r="BL147" s="218" t="s">
        <v>358</v>
      </c>
      <c r="BM147" s="226" t="s">
        <v>1026</v>
      </c>
    </row>
    <row r="148" spans="1:65" s="252" customFormat="1" ht="31.5" x14ac:dyDescent="0.25">
      <c r="A148" s="245">
        <f>A147+1</f>
        <v>80</v>
      </c>
      <c r="B148" s="100" t="s">
        <v>385</v>
      </c>
      <c r="C148" s="232" t="s">
        <v>386</v>
      </c>
      <c r="D148" s="243" t="s">
        <v>34</v>
      </c>
      <c r="E148" s="20">
        <f>F148+G148</f>
        <v>1</v>
      </c>
      <c r="F148" s="28"/>
      <c r="G148" s="73">
        <f>SUM(H148:BG148)-M148-Q148-U148</f>
        <v>1</v>
      </c>
      <c r="H148" s="73"/>
      <c r="I148" s="73">
        <v>0.2</v>
      </c>
      <c r="J148" s="238"/>
      <c r="K148" s="73">
        <v>0.15</v>
      </c>
      <c r="L148" s="73">
        <v>0.2</v>
      </c>
      <c r="M148" s="238"/>
      <c r="N148" s="238"/>
      <c r="O148" s="238"/>
      <c r="P148" s="238"/>
      <c r="Q148" s="238"/>
      <c r="R148" s="238"/>
      <c r="S148" s="238"/>
      <c r="T148" s="238"/>
      <c r="U148" s="33">
        <f t="shared" si="50"/>
        <v>0.45</v>
      </c>
      <c r="V148" s="238">
        <v>0.45</v>
      </c>
      <c r="W148" s="238"/>
      <c r="X148" s="238"/>
      <c r="Y148" s="73"/>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73"/>
      <c r="AU148" s="238"/>
      <c r="AV148" s="238"/>
      <c r="AW148" s="238"/>
      <c r="AX148" s="238"/>
      <c r="AY148" s="238"/>
      <c r="AZ148" s="238"/>
      <c r="BA148" s="238"/>
      <c r="BB148" s="238"/>
      <c r="BC148" s="238"/>
      <c r="BD148" s="73"/>
      <c r="BE148" s="238"/>
      <c r="BF148" s="238"/>
      <c r="BG148" s="238"/>
      <c r="BH148" s="235"/>
      <c r="BI148" s="232" t="s">
        <v>386</v>
      </c>
      <c r="BJ148" s="232"/>
      <c r="BK148" s="241" t="s">
        <v>398</v>
      </c>
      <c r="BL148" s="218" t="s">
        <v>202</v>
      </c>
      <c r="BM148" s="226" t="s">
        <v>1026</v>
      </c>
    </row>
    <row r="149" spans="1:65" s="334" customFormat="1" ht="47.25" x14ac:dyDescent="0.25">
      <c r="A149" s="333">
        <f>A151+1</f>
        <v>82</v>
      </c>
      <c r="B149" s="323" t="s">
        <v>389</v>
      </c>
      <c r="C149" s="312" t="s">
        <v>390</v>
      </c>
      <c r="D149" s="331" t="s">
        <v>34</v>
      </c>
      <c r="E149" s="265">
        <f>F149+G149</f>
        <v>5.59</v>
      </c>
      <c r="F149" s="328">
        <v>0.31</v>
      </c>
      <c r="G149" s="282">
        <f>SUM(H149:BG149)-M149-Q149-U149</f>
        <v>5.28</v>
      </c>
      <c r="H149" s="282">
        <v>0.04</v>
      </c>
      <c r="I149" s="282"/>
      <c r="J149" s="328"/>
      <c r="K149" s="335">
        <v>0.02</v>
      </c>
      <c r="L149" s="282">
        <v>0.44</v>
      </c>
      <c r="M149" s="328"/>
      <c r="N149" s="328"/>
      <c r="O149" s="328"/>
      <c r="P149" s="328"/>
      <c r="Q149" s="328"/>
      <c r="R149" s="328"/>
      <c r="S149" s="328"/>
      <c r="T149" s="328"/>
      <c r="U149" s="286">
        <f t="shared" si="50"/>
        <v>4.46</v>
      </c>
      <c r="V149" s="328">
        <v>2.0499999999999998</v>
      </c>
      <c r="W149" s="328">
        <v>2.16</v>
      </c>
      <c r="X149" s="328">
        <v>0.25</v>
      </c>
      <c r="Y149" s="282"/>
      <c r="Z149" s="328"/>
      <c r="AA149" s="328"/>
      <c r="AB149" s="328"/>
      <c r="AC149" s="328"/>
      <c r="AD149" s="328"/>
      <c r="AE149" s="328"/>
      <c r="AF149" s="328"/>
      <c r="AG149" s="328"/>
      <c r="AH149" s="328"/>
      <c r="AI149" s="328"/>
      <c r="AJ149" s="328"/>
      <c r="AK149" s="328"/>
      <c r="AL149" s="328"/>
      <c r="AM149" s="328"/>
      <c r="AN149" s="328"/>
      <c r="AO149" s="328"/>
      <c r="AP149" s="328"/>
      <c r="AQ149" s="328"/>
      <c r="AR149" s="328"/>
      <c r="AS149" s="328"/>
      <c r="AT149" s="282">
        <v>0.05</v>
      </c>
      <c r="AU149" s="328"/>
      <c r="AV149" s="328"/>
      <c r="AW149" s="328"/>
      <c r="AX149" s="328"/>
      <c r="AY149" s="328"/>
      <c r="AZ149" s="328"/>
      <c r="BA149" s="328"/>
      <c r="BB149" s="328"/>
      <c r="BC149" s="328"/>
      <c r="BD149" s="282">
        <v>0.08</v>
      </c>
      <c r="BE149" s="328"/>
      <c r="BF149" s="328"/>
      <c r="BG149" s="328">
        <v>0.19</v>
      </c>
      <c r="BH149" s="330" t="s">
        <v>391</v>
      </c>
      <c r="BI149" s="312" t="s">
        <v>390</v>
      </c>
      <c r="BJ149" s="327"/>
      <c r="BK149" s="329" t="s">
        <v>120</v>
      </c>
      <c r="BL149" s="332" t="s">
        <v>392</v>
      </c>
      <c r="BM149" s="327" t="s">
        <v>206</v>
      </c>
    </row>
    <row r="150" spans="1:65" s="254" customFormat="1" ht="31.5" x14ac:dyDescent="0.25">
      <c r="A150" s="121"/>
      <c r="B150" s="99" t="s">
        <v>384</v>
      </c>
      <c r="C150" s="98"/>
      <c r="D150" s="44"/>
      <c r="E150" s="93">
        <f t="shared" ca="1" si="48"/>
        <v>37.298000000000016</v>
      </c>
      <c r="F150" s="93"/>
      <c r="G150" s="46">
        <f t="shared" ca="1" si="51"/>
        <v>67.986000000000018</v>
      </c>
      <c r="H150" s="47">
        <f t="shared" ref="H150:AM150" ca="1" si="52">SUM(H148:H153)</f>
        <v>3.0800000000000005</v>
      </c>
      <c r="I150" s="47">
        <f t="shared" ca="1" si="52"/>
        <v>2.1</v>
      </c>
      <c r="J150" s="47">
        <f t="shared" ca="1" si="52"/>
        <v>0</v>
      </c>
      <c r="K150" s="47">
        <f t="shared" ca="1" si="52"/>
        <v>6.18</v>
      </c>
      <c r="L150" s="47">
        <f t="shared" ca="1" si="52"/>
        <v>4.5839999999999996</v>
      </c>
      <c r="M150" s="47">
        <f t="shared" ca="1" si="52"/>
        <v>0</v>
      </c>
      <c r="N150" s="47">
        <f t="shared" ca="1" si="52"/>
        <v>0</v>
      </c>
      <c r="O150" s="47">
        <f t="shared" ca="1" si="52"/>
        <v>0</v>
      </c>
      <c r="P150" s="47">
        <f t="shared" ca="1" si="52"/>
        <v>0</v>
      </c>
      <c r="Q150" s="47">
        <f t="shared" ca="1" si="52"/>
        <v>0</v>
      </c>
      <c r="R150" s="47">
        <f t="shared" ca="1" si="52"/>
        <v>0</v>
      </c>
      <c r="S150" s="47">
        <f t="shared" ca="1" si="52"/>
        <v>0</v>
      </c>
      <c r="T150" s="47">
        <f t="shared" ca="1" si="52"/>
        <v>0</v>
      </c>
      <c r="U150" s="47">
        <f t="shared" ca="1" si="52"/>
        <v>55</v>
      </c>
      <c r="V150" s="47">
        <f t="shared" ca="1" si="52"/>
        <v>40.63000000000001</v>
      </c>
      <c r="W150" s="47">
        <f t="shared" ca="1" si="52"/>
        <v>7.26</v>
      </c>
      <c r="X150" s="47">
        <f t="shared" ca="1" si="52"/>
        <v>0.5</v>
      </c>
      <c r="Y150" s="47">
        <f t="shared" ca="1" si="52"/>
        <v>0.12000000000000001</v>
      </c>
      <c r="Z150" s="47">
        <f t="shared" ca="1" si="52"/>
        <v>0</v>
      </c>
      <c r="AA150" s="47">
        <f t="shared" ca="1" si="52"/>
        <v>0</v>
      </c>
      <c r="AB150" s="47">
        <f t="shared" ca="1" si="52"/>
        <v>0</v>
      </c>
      <c r="AC150" s="47">
        <f t="shared" ca="1" si="52"/>
        <v>0</v>
      </c>
      <c r="AD150" s="47">
        <f t="shared" ca="1" si="52"/>
        <v>0</v>
      </c>
      <c r="AE150" s="47">
        <f t="shared" ca="1" si="52"/>
        <v>0</v>
      </c>
      <c r="AF150" s="47">
        <f t="shared" ca="1" si="52"/>
        <v>0.33999999999999997</v>
      </c>
      <c r="AG150" s="47">
        <f t="shared" ca="1" si="52"/>
        <v>0.06</v>
      </c>
      <c r="AH150" s="47">
        <f t="shared" ca="1" si="52"/>
        <v>0</v>
      </c>
      <c r="AI150" s="47">
        <f t="shared" ca="1" si="52"/>
        <v>0</v>
      </c>
      <c r="AJ150" s="47">
        <f t="shared" ca="1" si="52"/>
        <v>0</v>
      </c>
      <c r="AK150" s="47">
        <f t="shared" ca="1" si="52"/>
        <v>0</v>
      </c>
      <c r="AL150" s="47">
        <f t="shared" ca="1" si="52"/>
        <v>0</v>
      </c>
      <c r="AM150" s="47">
        <f t="shared" ca="1" si="52"/>
        <v>0</v>
      </c>
      <c r="AN150" s="47">
        <f t="shared" ref="AN150:BG150" ca="1" si="53">SUM(AN148:AN153)</f>
        <v>0</v>
      </c>
      <c r="AO150" s="47">
        <f t="shared" ca="1" si="53"/>
        <v>0</v>
      </c>
      <c r="AP150" s="47">
        <f t="shared" ca="1" si="53"/>
        <v>0</v>
      </c>
      <c r="AQ150" s="47">
        <f t="shared" ca="1" si="53"/>
        <v>0</v>
      </c>
      <c r="AR150" s="47">
        <f t="shared" ca="1" si="53"/>
        <v>0</v>
      </c>
      <c r="AS150" s="47">
        <f t="shared" ca="1" si="53"/>
        <v>0</v>
      </c>
      <c r="AT150" s="47">
        <f t="shared" ca="1" si="53"/>
        <v>0.30000000000000004</v>
      </c>
      <c r="AU150" s="47">
        <f t="shared" ca="1" si="53"/>
        <v>0</v>
      </c>
      <c r="AV150" s="47">
        <f t="shared" ca="1" si="53"/>
        <v>0</v>
      </c>
      <c r="AW150" s="47">
        <f t="shared" ca="1" si="53"/>
        <v>0</v>
      </c>
      <c r="AX150" s="47">
        <f t="shared" ca="1" si="53"/>
        <v>0</v>
      </c>
      <c r="AY150" s="47">
        <f t="shared" ca="1" si="53"/>
        <v>0</v>
      </c>
      <c r="AZ150" s="47">
        <f t="shared" ca="1" si="53"/>
        <v>0</v>
      </c>
      <c r="BA150" s="47">
        <f t="shared" ca="1" si="53"/>
        <v>0</v>
      </c>
      <c r="BB150" s="47">
        <f t="shared" ca="1" si="53"/>
        <v>0</v>
      </c>
      <c r="BC150" s="47">
        <f t="shared" ca="1" si="53"/>
        <v>0</v>
      </c>
      <c r="BD150" s="47">
        <f t="shared" ca="1" si="53"/>
        <v>1.202</v>
      </c>
      <c r="BE150" s="47">
        <f t="shared" ca="1" si="53"/>
        <v>0</v>
      </c>
      <c r="BF150" s="47">
        <f t="shared" ca="1" si="53"/>
        <v>0</v>
      </c>
      <c r="BG150" s="47">
        <f t="shared" ca="1" si="53"/>
        <v>1.63</v>
      </c>
      <c r="BH150" s="231"/>
      <c r="BI150" s="98"/>
      <c r="BJ150" s="44"/>
      <c r="BK150" s="122"/>
      <c r="BL150" s="229"/>
      <c r="BM150" s="58"/>
    </row>
    <row r="151" spans="1:65" s="252" customFormat="1" ht="31.5" x14ac:dyDescent="0.25">
      <c r="A151" s="245">
        <f>A148+1</f>
        <v>81</v>
      </c>
      <c r="B151" s="100" t="s">
        <v>387</v>
      </c>
      <c r="C151" s="119" t="s">
        <v>138</v>
      </c>
      <c r="D151" s="243" t="s">
        <v>34</v>
      </c>
      <c r="E151" s="20">
        <f t="shared" si="48"/>
        <v>0.61</v>
      </c>
      <c r="F151" s="28"/>
      <c r="G151" s="73">
        <f t="shared" si="51"/>
        <v>0.61</v>
      </c>
      <c r="H151" s="73"/>
      <c r="I151" s="73">
        <v>0.08</v>
      </c>
      <c r="J151" s="238"/>
      <c r="K151" s="120">
        <v>0.15</v>
      </c>
      <c r="L151" s="73">
        <v>0.1</v>
      </c>
      <c r="M151" s="238"/>
      <c r="N151" s="238"/>
      <c r="O151" s="238"/>
      <c r="P151" s="238"/>
      <c r="Q151" s="238"/>
      <c r="R151" s="238"/>
      <c r="S151" s="238"/>
      <c r="T151" s="238"/>
      <c r="U151" s="33">
        <f>SUM(V151:X151)</f>
        <v>0.28000000000000003</v>
      </c>
      <c r="V151" s="238">
        <v>0.28000000000000003</v>
      </c>
      <c r="W151" s="238"/>
      <c r="X151" s="238"/>
      <c r="Y151" s="73"/>
      <c r="Z151" s="238"/>
      <c r="AA151" s="238"/>
      <c r="AB151" s="238"/>
      <c r="AC151" s="238"/>
      <c r="AD151" s="238"/>
      <c r="AE151" s="238"/>
      <c r="AF151" s="238"/>
      <c r="AG151" s="238"/>
      <c r="AH151" s="238"/>
      <c r="AI151" s="238"/>
      <c r="AJ151" s="238"/>
      <c r="AK151" s="238"/>
      <c r="AL151" s="238"/>
      <c r="AM151" s="238"/>
      <c r="AN151" s="238"/>
      <c r="AO151" s="238"/>
      <c r="AP151" s="238"/>
      <c r="AQ151" s="238"/>
      <c r="AR151" s="238"/>
      <c r="AS151" s="238"/>
      <c r="AT151" s="73"/>
      <c r="AU151" s="238"/>
      <c r="AV151" s="238"/>
      <c r="AW151" s="238"/>
      <c r="AX151" s="238"/>
      <c r="AY151" s="238"/>
      <c r="AZ151" s="238"/>
      <c r="BA151" s="238"/>
      <c r="BB151" s="238"/>
      <c r="BC151" s="238"/>
      <c r="BD151" s="73"/>
      <c r="BE151" s="238"/>
      <c r="BF151" s="238"/>
      <c r="BG151" s="238"/>
      <c r="BH151" s="235"/>
      <c r="BI151" s="119" t="s">
        <v>138</v>
      </c>
      <c r="BJ151" s="226" t="s">
        <v>388</v>
      </c>
      <c r="BK151" s="241" t="s">
        <v>398</v>
      </c>
      <c r="BL151" s="218" t="s">
        <v>202</v>
      </c>
      <c r="BM151" s="226" t="s">
        <v>1026</v>
      </c>
    </row>
    <row r="152" spans="1:65" s="252" customFormat="1" ht="31.5" x14ac:dyDescent="0.25">
      <c r="A152" s="245">
        <f>A149+1</f>
        <v>83</v>
      </c>
      <c r="B152" s="100" t="s">
        <v>1077</v>
      </c>
      <c r="C152" s="119" t="s">
        <v>82</v>
      </c>
      <c r="D152" s="243" t="s">
        <v>34</v>
      </c>
      <c r="E152" s="20">
        <f t="shared" si="48"/>
        <v>0.3</v>
      </c>
      <c r="F152" s="28"/>
      <c r="G152" s="74">
        <f>SUM(J152:BI152)-O152-S152-W152</f>
        <v>0.3</v>
      </c>
      <c r="H152" s="73"/>
      <c r="I152" s="73"/>
      <c r="J152" s="238"/>
      <c r="K152" s="120"/>
      <c r="L152" s="73"/>
      <c r="M152" s="238"/>
      <c r="N152" s="238"/>
      <c r="O152" s="238"/>
      <c r="P152" s="238"/>
      <c r="Q152" s="238"/>
      <c r="R152" s="238"/>
      <c r="S152" s="238"/>
      <c r="T152" s="238"/>
      <c r="U152" s="33"/>
      <c r="V152" s="238"/>
      <c r="W152" s="238"/>
      <c r="X152" s="238"/>
      <c r="Y152" s="73"/>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73"/>
      <c r="AU152" s="238"/>
      <c r="AV152" s="238"/>
      <c r="AW152" s="238"/>
      <c r="AX152" s="238"/>
      <c r="AY152" s="238"/>
      <c r="AZ152" s="238"/>
      <c r="BA152" s="238"/>
      <c r="BB152" s="238"/>
      <c r="BC152" s="238"/>
      <c r="BD152" s="73"/>
      <c r="BE152" s="238"/>
      <c r="BF152" s="238"/>
      <c r="BG152" s="238">
        <v>0.3</v>
      </c>
      <c r="BH152" s="235"/>
      <c r="BI152" s="119" t="s">
        <v>82</v>
      </c>
      <c r="BJ152" s="226"/>
      <c r="BK152" s="241" t="s">
        <v>120</v>
      </c>
      <c r="BL152" s="218" t="s">
        <v>1078</v>
      </c>
      <c r="BM152" s="226" t="s">
        <v>206</v>
      </c>
    </row>
    <row r="153" spans="1:65" s="252" customFormat="1" ht="31.5" x14ac:dyDescent="0.25">
      <c r="A153" s="245">
        <f>A152+1</f>
        <v>84</v>
      </c>
      <c r="B153" s="100" t="s">
        <v>393</v>
      </c>
      <c r="C153" s="119" t="s">
        <v>394</v>
      </c>
      <c r="D153" s="273" t="s">
        <v>34</v>
      </c>
      <c r="E153" s="20">
        <f>F153+G153</f>
        <v>23.498000000000012</v>
      </c>
      <c r="F153" s="28"/>
      <c r="G153" s="73">
        <f>SUM(H153:BG153)-M153-Q153-U153</f>
        <v>23.498000000000012</v>
      </c>
      <c r="H153" s="73">
        <v>1.5000000000000002</v>
      </c>
      <c r="I153" s="73">
        <v>0.77</v>
      </c>
      <c r="J153" s="73">
        <v>0</v>
      </c>
      <c r="K153" s="73">
        <v>2.77</v>
      </c>
      <c r="L153" s="73">
        <v>1.552</v>
      </c>
      <c r="M153" s="73">
        <v>0</v>
      </c>
      <c r="N153" s="73">
        <v>0</v>
      </c>
      <c r="O153" s="73">
        <v>0</v>
      </c>
      <c r="P153" s="73">
        <v>0</v>
      </c>
      <c r="Q153" s="73">
        <v>0</v>
      </c>
      <c r="R153" s="73">
        <v>0</v>
      </c>
      <c r="S153" s="73">
        <v>0</v>
      </c>
      <c r="T153" s="73">
        <v>0</v>
      </c>
      <c r="U153" s="238">
        <v>22.310000000000002</v>
      </c>
      <c r="V153" s="73">
        <f>20.84-6.61</f>
        <v>14.23</v>
      </c>
      <c r="W153" s="73">
        <v>1.47</v>
      </c>
      <c r="X153" s="73">
        <v>0</v>
      </c>
      <c r="Y153" s="73">
        <v>6.0000000000000005E-2</v>
      </c>
      <c r="Z153" s="73">
        <v>0</v>
      </c>
      <c r="AA153" s="73">
        <v>0</v>
      </c>
      <c r="AB153" s="73">
        <v>0</v>
      </c>
      <c r="AC153" s="73">
        <v>0</v>
      </c>
      <c r="AD153" s="73">
        <v>0</v>
      </c>
      <c r="AE153" s="73">
        <v>0</v>
      </c>
      <c r="AF153" s="73">
        <v>0.16999999999999998</v>
      </c>
      <c r="AG153" s="73">
        <v>0.03</v>
      </c>
      <c r="AH153" s="73">
        <v>0</v>
      </c>
      <c r="AI153" s="73">
        <v>0</v>
      </c>
      <c r="AJ153" s="73">
        <v>0</v>
      </c>
      <c r="AK153" s="73">
        <v>0</v>
      </c>
      <c r="AL153" s="73">
        <v>0</v>
      </c>
      <c r="AM153" s="73">
        <v>0</v>
      </c>
      <c r="AN153" s="73">
        <v>0</v>
      </c>
      <c r="AO153" s="73">
        <v>0</v>
      </c>
      <c r="AP153" s="73">
        <v>0</v>
      </c>
      <c r="AQ153" s="73">
        <v>0</v>
      </c>
      <c r="AR153" s="73">
        <v>0</v>
      </c>
      <c r="AS153" s="73">
        <v>0</v>
      </c>
      <c r="AT153" s="73">
        <v>0.1</v>
      </c>
      <c r="AU153" s="73">
        <v>0</v>
      </c>
      <c r="AV153" s="73">
        <v>0</v>
      </c>
      <c r="AW153" s="73">
        <v>0</v>
      </c>
      <c r="AX153" s="73">
        <v>0</v>
      </c>
      <c r="AY153" s="73">
        <v>0</v>
      </c>
      <c r="AZ153" s="73">
        <v>0</v>
      </c>
      <c r="BA153" s="73">
        <v>0</v>
      </c>
      <c r="BB153" s="73">
        <v>0</v>
      </c>
      <c r="BC153" s="73">
        <v>0</v>
      </c>
      <c r="BD153" s="73">
        <v>0.52100000000000002</v>
      </c>
      <c r="BE153" s="73">
        <v>0</v>
      </c>
      <c r="BF153" s="73">
        <v>0</v>
      </c>
      <c r="BG153" s="73">
        <v>0.32499999999999996</v>
      </c>
      <c r="BH153" s="326"/>
      <c r="BI153" s="119" t="s">
        <v>394</v>
      </c>
      <c r="BJ153" s="325"/>
      <c r="BK153" s="241" t="s">
        <v>395</v>
      </c>
      <c r="BL153" s="324" t="s">
        <v>202</v>
      </c>
      <c r="BM153" s="325" t="s">
        <v>1026</v>
      </c>
    </row>
    <row r="154" spans="1:65" s="252" customFormat="1" x14ac:dyDescent="0.25">
      <c r="A154" s="56" t="s">
        <v>400</v>
      </c>
      <c r="B154" s="70" t="s">
        <v>401</v>
      </c>
      <c r="C154" s="238"/>
      <c r="D154" s="44"/>
      <c r="E154" s="59">
        <f>SUM(E155:E160)</f>
        <v>39.870000000000005</v>
      </c>
      <c r="F154" s="59">
        <f>SUM(F155:F160)</f>
        <v>0</v>
      </c>
      <c r="G154" s="59">
        <f>SUM(G155:G160)</f>
        <v>39.870000000000005</v>
      </c>
      <c r="H154" s="59">
        <f>SUM(H155:H160)</f>
        <v>1.0169999999999999</v>
      </c>
      <c r="I154" s="59">
        <f t="shared" ref="I154:BG154" si="54">SUM(I155:I160)</f>
        <v>1.9729999999999999</v>
      </c>
      <c r="J154" s="59">
        <f t="shared" si="54"/>
        <v>0</v>
      </c>
      <c r="K154" s="59">
        <f t="shared" si="54"/>
        <v>5.26</v>
      </c>
      <c r="L154" s="59">
        <f t="shared" si="54"/>
        <v>0.71</v>
      </c>
      <c r="M154" s="59">
        <f t="shared" si="54"/>
        <v>2</v>
      </c>
      <c r="N154" s="59">
        <f t="shared" si="54"/>
        <v>2</v>
      </c>
      <c r="O154" s="59">
        <f t="shared" si="54"/>
        <v>0</v>
      </c>
      <c r="P154" s="59">
        <f t="shared" si="54"/>
        <v>0</v>
      </c>
      <c r="Q154" s="59">
        <f t="shared" si="54"/>
        <v>0</v>
      </c>
      <c r="R154" s="59">
        <f t="shared" si="54"/>
        <v>0</v>
      </c>
      <c r="S154" s="59">
        <f t="shared" si="54"/>
        <v>0</v>
      </c>
      <c r="T154" s="59">
        <f t="shared" si="54"/>
        <v>0</v>
      </c>
      <c r="U154" s="71">
        <f t="shared" si="54"/>
        <v>26.78</v>
      </c>
      <c r="V154" s="59">
        <f t="shared" si="54"/>
        <v>17.580000000000002</v>
      </c>
      <c r="W154" s="59">
        <f t="shared" si="54"/>
        <v>9.379999999999999</v>
      </c>
      <c r="X154" s="59">
        <f t="shared" si="54"/>
        <v>0.38</v>
      </c>
      <c r="Y154" s="59">
        <f t="shared" si="54"/>
        <v>0</v>
      </c>
      <c r="Z154" s="59">
        <f t="shared" si="54"/>
        <v>0</v>
      </c>
      <c r="AA154" s="59">
        <f t="shared" si="54"/>
        <v>0</v>
      </c>
      <c r="AB154" s="59">
        <f t="shared" si="54"/>
        <v>0</v>
      </c>
      <c r="AC154" s="59">
        <f t="shared" si="54"/>
        <v>0</v>
      </c>
      <c r="AD154" s="59">
        <f t="shared" si="54"/>
        <v>0</v>
      </c>
      <c r="AE154" s="59">
        <f t="shared" si="54"/>
        <v>0</v>
      </c>
      <c r="AF154" s="59">
        <f t="shared" si="54"/>
        <v>7.0000000000000007E-2</v>
      </c>
      <c r="AG154" s="59">
        <f t="shared" si="54"/>
        <v>0</v>
      </c>
      <c r="AH154" s="59">
        <f t="shared" si="54"/>
        <v>0</v>
      </c>
      <c r="AI154" s="59">
        <f t="shared" si="54"/>
        <v>0</v>
      </c>
      <c r="AJ154" s="59">
        <f t="shared" si="54"/>
        <v>0</v>
      </c>
      <c r="AK154" s="59">
        <f t="shared" si="54"/>
        <v>0</v>
      </c>
      <c r="AL154" s="59">
        <f t="shared" si="54"/>
        <v>0</v>
      </c>
      <c r="AM154" s="59">
        <f t="shared" si="54"/>
        <v>0</v>
      </c>
      <c r="AN154" s="59">
        <f t="shared" si="54"/>
        <v>0</v>
      </c>
      <c r="AO154" s="59">
        <f t="shared" si="54"/>
        <v>0</v>
      </c>
      <c r="AP154" s="59">
        <f t="shared" si="54"/>
        <v>0</v>
      </c>
      <c r="AQ154" s="59">
        <f t="shared" si="54"/>
        <v>0</v>
      </c>
      <c r="AR154" s="59">
        <f t="shared" si="54"/>
        <v>0</v>
      </c>
      <c r="AS154" s="59">
        <f t="shared" si="54"/>
        <v>0</v>
      </c>
      <c r="AT154" s="59">
        <f t="shared" si="54"/>
        <v>0</v>
      </c>
      <c r="AU154" s="59">
        <f t="shared" si="54"/>
        <v>0</v>
      </c>
      <c r="AV154" s="59">
        <f t="shared" si="54"/>
        <v>0</v>
      </c>
      <c r="AW154" s="59">
        <f t="shared" si="54"/>
        <v>0</v>
      </c>
      <c r="AX154" s="59">
        <f t="shared" si="54"/>
        <v>0</v>
      </c>
      <c r="AY154" s="59">
        <f t="shared" si="54"/>
        <v>0</v>
      </c>
      <c r="AZ154" s="59">
        <f t="shared" si="54"/>
        <v>0</v>
      </c>
      <c r="BA154" s="59">
        <f t="shared" si="54"/>
        <v>0</v>
      </c>
      <c r="BB154" s="59">
        <f t="shared" si="54"/>
        <v>0</v>
      </c>
      <c r="BC154" s="59">
        <f t="shared" si="54"/>
        <v>0</v>
      </c>
      <c r="BD154" s="59">
        <f t="shared" si="54"/>
        <v>1.93</v>
      </c>
      <c r="BE154" s="59">
        <f t="shared" si="54"/>
        <v>0</v>
      </c>
      <c r="BF154" s="59">
        <f t="shared" si="54"/>
        <v>0</v>
      </c>
      <c r="BG154" s="59">
        <f t="shared" si="54"/>
        <v>0.13</v>
      </c>
      <c r="BH154" s="238"/>
      <c r="BI154" s="238"/>
      <c r="BJ154" s="238"/>
      <c r="BK154" s="238"/>
      <c r="BL154" s="238"/>
      <c r="BM154" s="238"/>
    </row>
    <row r="155" spans="1:65" s="252" customFormat="1" ht="31.5" x14ac:dyDescent="0.25">
      <c r="A155" s="215">
        <f>A153+1</f>
        <v>85</v>
      </c>
      <c r="B155" s="221" t="s">
        <v>402</v>
      </c>
      <c r="C155" s="90" t="s">
        <v>349</v>
      </c>
      <c r="D155" s="218" t="s">
        <v>35</v>
      </c>
      <c r="E155" s="20">
        <f t="shared" ref="E155:E179" si="55">F155+G155</f>
        <v>0.43</v>
      </c>
      <c r="F155" s="20"/>
      <c r="G155" s="28">
        <f t="shared" ref="G155:G160" si="56">SUM(H155:M155,Q155,U155,Y155:BG155)</f>
        <v>0.43</v>
      </c>
      <c r="H155" s="62"/>
      <c r="I155" s="62"/>
      <c r="J155" s="62"/>
      <c r="K155" s="62">
        <v>0.43</v>
      </c>
      <c r="L155" s="62"/>
      <c r="M155" s="62"/>
      <c r="N155" s="62"/>
      <c r="O155" s="62"/>
      <c r="P155" s="62"/>
      <c r="Q155" s="62"/>
      <c r="R155" s="62"/>
      <c r="S155" s="62"/>
      <c r="T155" s="62"/>
      <c r="U155" s="49"/>
      <c r="V155" s="49"/>
      <c r="W155" s="49"/>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235"/>
      <c r="BI155" s="90" t="s">
        <v>349</v>
      </c>
      <c r="BJ155" s="90"/>
      <c r="BK155" s="66" t="s">
        <v>120</v>
      </c>
      <c r="BL155" s="218" t="s">
        <v>1069</v>
      </c>
      <c r="BM155" s="226" t="s">
        <v>1026</v>
      </c>
    </row>
    <row r="156" spans="1:65" s="252" customFormat="1" ht="47.25" x14ac:dyDescent="0.25">
      <c r="A156" s="223">
        <f>A155+1</f>
        <v>86</v>
      </c>
      <c r="B156" s="237" t="s">
        <v>403</v>
      </c>
      <c r="C156" s="90" t="s">
        <v>349</v>
      </c>
      <c r="D156" s="218" t="s">
        <v>35</v>
      </c>
      <c r="E156" s="20">
        <f t="shared" si="55"/>
        <v>0.78</v>
      </c>
      <c r="F156" s="20"/>
      <c r="G156" s="28">
        <f t="shared" si="56"/>
        <v>0.78</v>
      </c>
      <c r="H156" s="62"/>
      <c r="I156" s="62"/>
      <c r="J156" s="62"/>
      <c r="K156" s="62">
        <v>0.78</v>
      </c>
      <c r="L156" s="62"/>
      <c r="M156" s="62"/>
      <c r="N156" s="62"/>
      <c r="O156" s="62"/>
      <c r="P156" s="62"/>
      <c r="Q156" s="62"/>
      <c r="R156" s="62"/>
      <c r="S156" s="62"/>
      <c r="T156" s="62"/>
      <c r="U156" s="49"/>
      <c r="V156" s="49"/>
      <c r="W156" s="49"/>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235"/>
      <c r="BI156" s="90" t="s">
        <v>349</v>
      </c>
      <c r="BJ156" s="90"/>
      <c r="BK156" s="66" t="s">
        <v>120</v>
      </c>
      <c r="BL156" s="123" t="s">
        <v>404</v>
      </c>
      <c r="BM156" s="226" t="s">
        <v>1026</v>
      </c>
    </row>
    <row r="157" spans="1:65" s="252" customFormat="1" ht="31.5" x14ac:dyDescent="0.25">
      <c r="A157" s="223">
        <f>A156+1</f>
        <v>87</v>
      </c>
      <c r="B157" s="221" t="s">
        <v>405</v>
      </c>
      <c r="C157" s="218" t="s">
        <v>406</v>
      </c>
      <c r="D157" s="243" t="s">
        <v>35</v>
      </c>
      <c r="E157" s="20">
        <f t="shared" si="55"/>
        <v>18</v>
      </c>
      <c r="F157" s="21"/>
      <c r="G157" s="28">
        <f t="shared" si="56"/>
        <v>18</v>
      </c>
      <c r="H157" s="49">
        <v>0.3</v>
      </c>
      <c r="I157" s="49">
        <v>0.65</v>
      </c>
      <c r="J157" s="62"/>
      <c r="K157" s="49"/>
      <c r="L157" s="49"/>
      <c r="M157" s="49">
        <v>2</v>
      </c>
      <c r="N157" s="62">
        <v>2</v>
      </c>
      <c r="O157" s="62"/>
      <c r="P157" s="62"/>
      <c r="Q157" s="62"/>
      <c r="R157" s="62"/>
      <c r="S157" s="62"/>
      <c r="T157" s="62"/>
      <c r="U157" s="33">
        <f>SUM(V157:X157)</f>
        <v>15.05</v>
      </c>
      <c r="V157" s="49">
        <v>8.0500000000000007</v>
      </c>
      <c r="W157" s="49">
        <v>7</v>
      </c>
      <c r="X157" s="49"/>
      <c r="Y157" s="49"/>
      <c r="Z157" s="62"/>
      <c r="AA157" s="62"/>
      <c r="AB157" s="62"/>
      <c r="AC157" s="49"/>
      <c r="AD157" s="49"/>
      <c r="AE157" s="49"/>
      <c r="AF157" s="49"/>
      <c r="AG157" s="49"/>
      <c r="AH157" s="62"/>
      <c r="AI157" s="49"/>
      <c r="AJ157" s="49"/>
      <c r="AK157" s="49"/>
      <c r="AL157" s="49"/>
      <c r="AM157" s="49"/>
      <c r="AN157" s="49"/>
      <c r="AO157" s="62"/>
      <c r="AP157" s="62"/>
      <c r="AQ157" s="62"/>
      <c r="AR157" s="62"/>
      <c r="AS157" s="62"/>
      <c r="AT157" s="49"/>
      <c r="AU157" s="49"/>
      <c r="AV157" s="49"/>
      <c r="AW157" s="49"/>
      <c r="AX157" s="49"/>
      <c r="AY157" s="49"/>
      <c r="AZ157" s="49"/>
      <c r="BA157" s="49"/>
      <c r="BB157" s="49"/>
      <c r="BC157" s="49"/>
      <c r="BD157" s="49"/>
      <c r="BE157" s="49"/>
      <c r="BF157" s="49"/>
      <c r="BG157" s="49"/>
      <c r="BH157" s="235"/>
      <c r="BI157" s="218" t="s">
        <v>406</v>
      </c>
      <c r="BJ157" s="90"/>
      <c r="BK157" s="241" t="s">
        <v>120</v>
      </c>
      <c r="BL157" s="218" t="s">
        <v>407</v>
      </c>
      <c r="BM157" s="226" t="s">
        <v>1026</v>
      </c>
    </row>
    <row r="158" spans="1:65" s="252" customFormat="1" ht="94.5" x14ac:dyDescent="0.25">
      <c r="A158" s="223">
        <f>A157+1</f>
        <v>88</v>
      </c>
      <c r="B158" s="221" t="s">
        <v>408</v>
      </c>
      <c r="C158" s="90" t="s">
        <v>142</v>
      </c>
      <c r="D158" s="243" t="s">
        <v>35</v>
      </c>
      <c r="E158" s="20">
        <f t="shared" si="55"/>
        <v>7.1</v>
      </c>
      <c r="F158" s="21"/>
      <c r="G158" s="28">
        <f t="shared" si="56"/>
        <v>7.1</v>
      </c>
      <c r="H158" s="62"/>
      <c r="I158" s="62"/>
      <c r="J158" s="62"/>
      <c r="K158" s="62"/>
      <c r="L158" s="62"/>
      <c r="M158" s="62"/>
      <c r="N158" s="62"/>
      <c r="O158" s="62"/>
      <c r="P158" s="62"/>
      <c r="Q158" s="62"/>
      <c r="R158" s="62"/>
      <c r="S158" s="62"/>
      <c r="T158" s="62"/>
      <c r="U158" s="33">
        <f>SUM(V158:X158)</f>
        <v>7.1</v>
      </c>
      <c r="V158" s="49">
        <v>7.1</v>
      </c>
      <c r="W158" s="49"/>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235" t="s">
        <v>262</v>
      </c>
      <c r="BI158" s="90" t="s">
        <v>142</v>
      </c>
      <c r="BJ158" s="90" t="s">
        <v>409</v>
      </c>
      <c r="BK158" s="66" t="s">
        <v>398</v>
      </c>
      <c r="BL158" s="218" t="s">
        <v>396</v>
      </c>
      <c r="BM158" s="226" t="s">
        <v>1026</v>
      </c>
    </row>
    <row r="159" spans="1:65" s="252" customFormat="1" ht="94.5" x14ac:dyDescent="0.25">
      <c r="A159" s="223">
        <f>A158+1</f>
        <v>89</v>
      </c>
      <c r="B159" s="190" t="s">
        <v>410</v>
      </c>
      <c r="C159" s="219" t="s">
        <v>399</v>
      </c>
      <c r="D159" s="243" t="s">
        <v>35</v>
      </c>
      <c r="E159" s="20">
        <f t="shared" si="55"/>
        <v>2.7600000000000002</v>
      </c>
      <c r="F159" s="21"/>
      <c r="G159" s="28">
        <f t="shared" si="56"/>
        <v>2.7600000000000002</v>
      </c>
      <c r="H159" s="235">
        <v>0.17</v>
      </c>
      <c r="I159" s="235">
        <v>0.73</v>
      </c>
      <c r="J159" s="235"/>
      <c r="K159" s="235">
        <v>0.17</v>
      </c>
      <c r="L159" s="235">
        <v>0.01</v>
      </c>
      <c r="M159" s="235">
        <f>SUM(N159:P159)</f>
        <v>0</v>
      </c>
      <c r="N159" s="235"/>
      <c r="O159" s="235"/>
      <c r="P159" s="235"/>
      <c r="Q159" s="235"/>
      <c r="R159" s="235"/>
      <c r="S159" s="235"/>
      <c r="T159" s="235"/>
      <c r="U159" s="33">
        <f>SUM(V159:X159)</f>
        <v>1.35</v>
      </c>
      <c r="V159" s="235">
        <v>0.25</v>
      </c>
      <c r="W159" s="235">
        <v>1.1000000000000001</v>
      </c>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v>0.23</v>
      </c>
      <c r="BE159" s="235"/>
      <c r="BF159" s="235"/>
      <c r="BG159" s="235">
        <v>0.1</v>
      </c>
      <c r="BH159" s="232" t="s">
        <v>411</v>
      </c>
      <c r="BI159" s="219" t="s">
        <v>399</v>
      </c>
      <c r="BJ159" s="226" t="s">
        <v>412</v>
      </c>
      <c r="BK159" s="241" t="s">
        <v>120</v>
      </c>
      <c r="BL159" s="218" t="s">
        <v>413</v>
      </c>
      <c r="BM159" s="226" t="s">
        <v>1026</v>
      </c>
    </row>
    <row r="160" spans="1:65" s="252" customFormat="1" ht="31.5" x14ac:dyDescent="0.25">
      <c r="A160" s="223">
        <f>A158+1</f>
        <v>89</v>
      </c>
      <c r="B160" s="221" t="s">
        <v>414</v>
      </c>
      <c r="C160" s="90" t="s">
        <v>394</v>
      </c>
      <c r="D160" s="243" t="s">
        <v>35</v>
      </c>
      <c r="E160" s="20">
        <f t="shared" si="55"/>
        <v>10.799999999999999</v>
      </c>
      <c r="F160" s="21"/>
      <c r="G160" s="28">
        <f t="shared" si="56"/>
        <v>10.799999999999999</v>
      </c>
      <c r="H160" s="54">
        <v>0.54700000000000004</v>
      </c>
      <c r="I160" s="54">
        <v>0.59299999999999997</v>
      </c>
      <c r="J160" s="54">
        <v>0</v>
      </c>
      <c r="K160" s="54">
        <v>3.88</v>
      </c>
      <c r="L160" s="54">
        <v>0.7</v>
      </c>
      <c r="M160" s="54">
        <v>0</v>
      </c>
      <c r="N160" s="54">
        <v>0</v>
      </c>
      <c r="O160" s="54">
        <v>0</v>
      </c>
      <c r="P160" s="54">
        <v>0</v>
      </c>
      <c r="Q160" s="54">
        <v>0</v>
      </c>
      <c r="R160" s="54">
        <v>0</v>
      </c>
      <c r="S160" s="54">
        <v>0</v>
      </c>
      <c r="T160" s="54">
        <v>0</v>
      </c>
      <c r="U160" s="92">
        <v>3.28</v>
      </c>
      <c r="V160" s="54">
        <f>1.62+0.6-0.04</f>
        <v>2.1800000000000002</v>
      </c>
      <c r="W160" s="54">
        <v>1.28</v>
      </c>
      <c r="X160" s="54">
        <v>0.38</v>
      </c>
      <c r="Y160" s="54">
        <v>0</v>
      </c>
      <c r="Z160" s="54">
        <v>0</v>
      </c>
      <c r="AA160" s="54">
        <v>0</v>
      </c>
      <c r="AB160" s="54">
        <v>0</v>
      </c>
      <c r="AC160" s="54">
        <v>0</v>
      </c>
      <c r="AD160" s="54">
        <v>0</v>
      </c>
      <c r="AE160" s="54">
        <v>0</v>
      </c>
      <c r="AF160" s="54">
        <v>7.0000000000000007E-2</v>
      </c>
      <c r="AG160" s="54">
        <v>0</v>
      </c>
      <c r="AH160" s="54">
        <v>0</v>
      </c>
      <c r="AI160" s="54">
        <v>0</v>
      </c>
      <c r="AJ160" s="54">
        <v>0</v>
      </c>
      <c r="AK160" s="54">
        <v>0</v>
      </c>
      <c r="AL160" s="54">
        <v>0</v>
      </c>
      <c r="AM160" s="54">
        <v>0</v>
      </c>
      <c r="AN160" s="54">
        <v>0</v>
      </c>
      <c r="AO160" s="54">
        <v>0</v>
      </c>
      <c r="AP160" s="54">
        <v>0</v>
      </c>
      <c r="AQ160" s="54">
        <v>0</v>
      </c>
      <c r="AR160" s="54">
        <v>0</v>
      </c>
      <c r="AS160" s="54">
        <v>0</v>
      </c>
      <c r="AT160" s="54">
        <v>0</v>
      </c>
      <c r="AU160" s="54">
        <v>0</v>
      </c>
      <c r="AV160" s="54">
        <v>0</v>
      </c>
      <c r="AW160" s="54">
        <v>0</v>
      </c>
      <c r="AX160" s="54">
        <v>0</v>
      </c>
      <c r="AY160" s="54">
        <v>0</v>
      </c>
      <c r="AZ160" s="54">
        <v>0</v>
      </c>
      <c r="BA160" s="54">
        <v>0</v>
      </c>
      <c r="BB160" s="54">
        <v>0</v>
      </c>
      <c r="BC160" s="54">
        <v>0</v>
      </c>
      <c r="BD160" s="54">
        <v>1.7</v>
      </c>
      <c r="BE160" s="54">
        <v>0</v>
      </c>
      <c r="BF160" s="54">
        <v>0</v>
      </c>
      <c r="BG160" s="54">
        <v>0.03</v>
      </c>
      <c r="BH160" s="235"/>
      <c r="BI160" s="90" t="s">
        <v>394</v>
      </c>
      <c r="BJ160" s="90"/>
      <c r="BK160" s="241" t="s">
        <v>415</v>
      </c>
      <c r="BL160" s="241" t="s">
        <v>416</v>
      </c>
      <c r="BM160" s="241" t="s">
        <v>1026</v>
      </c>
    </row>
    <row r="161" spans="1:65" s="252" customFormat="1" x14ac:dyDescent="0.25">
      <c r="A161" s="56" t="s">
        <v>419</v>
      </c>
      <c r="B161" s="124" t="s">
        <v>420</v>
      </c>
      <c r="C161" s="226"/>
      <c r="D161" s="44" t="s">
        <v>38</v>
      </c>
      <c r="E161" s="59">
        <f>F161+G161</f>
        <v>6.2</v>
      </c>
      <c r="F161" s="71">
        <f>SUM(F162:F175)</f>
        <v>0.04</v>
      </c>
      <c r="G161" s="71">
        <f>SUM(G162:G179)</f>
        <v>6.16</v>
      </c>
      <c r="H161" s="71">
        <f>SUM(H162:H179)</f>
        <v>0.21</v>
      </c>
      <c r="I161" s="71">
        <f t="shared" ref="I161:BG161" si="57">SUM(I162:I179)</f>
        <v>0.18</v>
      </c>
      <c r="J161" s="71">
        <f t="shared" si="57"/>
        <v>0</v>
      </c>
      <c r="K161" s="71">
        <f t="shared" si="57"/>
        <v>1.83</v>
      </c>
      <c r="L161" s="71">
        <f>SUM(L162:L179)</f>
        <v>1.1000000000000001</v>
      </c>
      <c r="M161" s="71">
        <f t="shared" si="57"/>
        <v>0</v>
      </c>
      <c r="N161" s="71">
        <f t="shared" si="57"/>
        <v>0</v>
      </c>
      <c r="O161" s="71">
        <f t="shared" si="57"/>
        <v>0</v>
      </c>
      <c r="P161" s="71">
        <f t="shared" si="57"/>
        <v>0</v>
      </c>
      <c r="Q161" s="71">
        <f t="shared" si="57"/>
        <v>0</v>
      </c>
      <c r="R161" s="71">
        <f t="shared" si="57"/>
        <v>0</v>
      </c>
      <c r="S161" s="71">
        <f t="shared" si="57"/>
        <v>0</v>
      </c>
      <c r="T161" s="71">
        <f t="shared" si="57"/>
        <v>0</v>
      </c>
      <c r="U161" s="71">
        <f t="shared" si="57"/>
        <v>2.54</v>
      </c>
      <c r="V161" s="71">
        <f t="shared" si="57"/>
        <v>2.46</v>
      </c>
      <c r="W161" s="71">
        <f t="shared" si="57"/>
        <v>0.05</v>
      </c>
      <c r="X161" s="71">
        <f t="shared" si="57"/>
        <v>0.03</v>
      </c>
      <c r="Y161" s="71">
        <f t="shared" si="57"/>
        <v>0</v>
      </c>
      <c r="Z161" s="71">
        <f t="shared" si="57"/>
        <v>0</v>
      </c>
      <c r="AA161" s="71">
        <f t="shared" si="57"/>
        <v>0</v>
      </c>
      <c r="AB161" s="71">
        <f t="shared" si="57"/>
        <v>0</v>
      </c>
      <c r="AC161" s="71">
        <f t="shared" si="57"/>
        <v>0</v>
      </c>
      <c r="AD161" s="71">
        <f t="shared" si="57"/>
        <v>0</v>
      </c>
      <c r="AE161" s="71">
        <f t="shared" si="57"/>
        <v>0</v>
      </c>
      <c r="AF161" s="71">
        <f t="shared" si="57"/>
        <v>0.01</v>
      </c>
      <c r="AG161" s="71">
        <f t="shared" si="57"/>
        <v>0</v>
      </c>
      <c r="AH161" s="71">
        <f t="shared" si="57"/>
        <v>0</v>
      </c>
      <c r="AI161" s="71">
        <f t="shared" si="57"/>
        <v>0</v>
      </c>
      <c r="AJ161" s="71">
        <f t="shared" si="57"/>
        <v>0</v>
      </c>
      <c r="AK161" s="71">
        <f t="shared" si="57"/>
        <v>0</v>
      </c>
      <c r="AL161" s="71">
        <f t="shared" si="57"/>
        <v>0</v>
      </c>
      <c r="AM161" s="71">
        <f t="shared" si="57"/>
        <v>0</v>
      </c>
      <c r="AN161" s="71">
        <f t="shared" si="57"/>
        <v>0</v>
      </c>
      <c r="AO161" s="71">
        <f t="shared" si="57"/>
        <v>0</v>
      </c>
      <c r="AP161" s="71">
        <f t="shared" si="57"/>
        <v>0.04</v>
      </c>
      <c r="AQ161" s="71">
        <f t="shared" si="57"/>
        <v>0</v>
      </c>
      <c r="AR161" s="71">
        <f t="shared" si="57"/>
        <v>0</v>
      </c>
      <c r="AS161" s="71">
        <f t="shared" si="57"/>
        <v>0</v>
      </c>
      <c r="AT161" s="71">
        <f t="shared" si="57"/>
        <v>0</v>
      </c>
      <c r="AU161" s="71">
        <f t="shared" si="57"/>
        <v>0</v>
      </c>
      <c r="AV161" s="71">
        <f t="shared" si="57"/>
        <v>9.9999999999999992E-2</v>
      </c>
      <c r="AW161" s="71">
        <f t="shared" si="57"/>
        <v>0</v>
      </c>
      <c r="AX161" s="71">
        <f t="shared" si="57"/>
        <v>0</v>
      </c>
      <c r="AY161" s="71">
        <f t="shared" si="57"/>
        <v>0</v>
      </c>
      <c r="AZ161" s="71">
        <f t="shared" si="57"/>
        <v>0</v>
      </c>
      <c r="BA161" s="71">
        <f t="shared" si="57"/>
        <v>0</v>
      </c>
      <c r="BB161" s="71">
        <f t="shared" si="57"/>
        <v>0</v>
      </c>
      <c r="BC161" s="71">
        <f t="shared" si="57"/>
        <v>0</v>
      </c>
      <c r="BD161" s="71">
        <f t="shared" si="57"/>
        <v>0</v>
      </c>
      <c r="BE161" s="71">
        <f t="shared" si="57"/>
        <v>0</v>
      </c>
      <c r="BF161" s="71">
        <f t="shared" si="57"/>
        <v>0</v>
      </c>
      <c r="BG161" s="71">
        <f t="shared" si="57"/>
        <v>0.15</v>
      </c>
      <c r="BH161" s="235"/>
      <c r="BI161" s="226"/>
      <c r="BJ161" s="226"/>
      <c r="BK161" s="241"/>
      <c r="BL161" s="218"/>
      <c r="BM161" s="226"/>
    </row>
    <row r="162" spans="1:65" s="252" customFormat="1" ht="31.5" x14ac:dyDescent="0.25">
      <c r="A162" s="215">
        <f>A160+1</f>
        <v>90</v>
      </c>
      <c r="B162" s="31" t="s">
        <v>421</v>
      </c>
      <c r="C162" s="226" t="s">
        <v>122</v>
      </c>
      <c r="D162" s="243" t="s">
        <v>38</v>
      </c>
      <c r="E162" s="28">
        <f t="shared" si="55"/>
        <v>0.1</v>
      </c>
      <c r="F162" s="20"/>
      <c r="G162" s="28">
        <f t="shared" ref="G162:G169" si="58">SUM(H162:M162,Q162,U162,Y162:BG162)</f>
        <v>0.1</v>
      </c>
      <c r="H162" s="62"/>
      <c r="I162" s="62"/>
      <c r="J162" s="62"/>
      <c r="K162" s="62">
        <v>0.1</v>
      </c>
      <c r="L162" s="62"/>
      <c r="M162" s="62"/>
      <c r="N162" s="62"/>
      <c r="O162" s="62"/>
      <c r="P162" s="62"/>
      <c r="Q162" s="62"/>
      <c r="R162" s="62"/>
      <c r="S162" s="62"/>
      <c r="T162" s="62"/>
      <c r="U162" s="33"/>
      <c r="V162" s="49"/>
      <c r="W162" s="49"/>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235" t="s">
        <v>123</v>
      </c>
      <c r="BI162" s="226" t="s">
        <v>122</v>
      </c>
      <c r="BJ162" s="238" t="s">
        <v>422</v>
      </c>
      <c r="BK162" s="233" t="s">
        <v>398</v>
      </c>
      <c r="BL162" s="218" t="s">
        <v>202</v>
      </c>
      <c r="BM162" s="226" t="s">
        <v>1026</v>
      </c>
    </row>
    <row r="163" spans="1:65" s="252" customFormat="1" x14ac:dyDescent="0.25">
      <c r="A163" s="215">
        <f>A162+1</f>
        <v>91</v>
      </c>
      <c r="B163" s="31" t="s">
        <v>423</v>
      </c>
      <c r="C163" s="226" t="s">
        <v>87</v>
      </c>
      <c r="D163" s="243" t="s">
        <v>38</v>
      </c>
      <c r="E163" s="20">
        <f t="shared" si="55"/>
        <v>0.04</v>
      </c>
      <c r="F163" s="21"/>
      <c r="G163" s="28">
        <f t="shared" si="58"/>
        <v>0.04</v>
      </c>
      <c r="H163" s="235"/>
      <c r="I163" s="235"/>
      <c r="J163" s="235"/>
      <c r="K163" s="32"/>
      <c r="L163" s="235"/>
      <c r="M163" s="235"/>
      <c r="N163" s="235"/>
      <c r="O163" s="235"/>
      <c r="P163" s="235"/>
      <c r="Q163" s="235"/>
      <c r="R163" s="235"/>
      <c r="S163" s="235"/>
      <c r="T163" s="235"/>
      <c r="U163" s="33"/>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32"/>
      <c r="AU163" s="235"/>
      <c r="AV163" s="235">
        <v>0.04</v>
      </c>
      <c r="AW163" s="235"/>
      <c r="AX163" s="235"/>
      <c r="AY163" s="235"/>
      <c r="AZ163" s="235"/>
      <c r="BA163" s="235"/>
      <c r="BB163" s="235"/>
      <c r="BC163" s="235"/>
      <c r="BD163" s="235"/>
      <c r="BE163" s="235"/>
      <c r="BF163" s="235"/>
      <c r="BG163" s="235"/>
      <c r="BH163" s="232" t="s">
        <v>131</v>
      </c>
      <c r="BI163" s="226" t="s">
        <v>87</v>
      </c>
      <c r="BJ163" s="226" t="s">
        <v>424</v>
      </c>
      <c r="BK163" s="241" t="s">
        <v>120</v>
      </c>
      <c r="BL163" s="218" t="s">
        <v>202</v>
      </c>
      <c r="BM163" s="226" t="s">
        <v>206</v>
      </c>
    </row>
    <row r="164" spans="1:65" s="252" customFormat="1" x14ac:dyDescent="0.25">
      <c r="A164" s="215">
        <f t="shared" ref="A164:A173" si="59">A163+1</f>
        <v>92</v>
      </c>
      <c r="B164" s="31" t="s">
        <v>425</v>
      </c>
      <c r="C164" s="226" t="s">
        <v>134</v>
      </c>
      <c r="D164" s="243" t="s">
        <v>38</v>
      </c>
      <c r="E164" s="20">
        <f t="shared" si="55"/>
        <v>0.03</v>
      </c>
      <c r="F164" s="21"/>
      <c r="G164" s="28">
        <f t="shared" si="58"/>
        <v>0.03</v>
      </c>
      <c r="H164" s="238"/>
      <c r="I164" s="238"/>
      <c r="J164" s="238"/>
      <c r="K164" s="238"/>
      <c r="L164" s="238"/>
      <c r="M164" s="238"/>
      <c r="N164" s="238"/>
      <c r="O164" s="238"/>
      <c r="P164" s="238"/>
      <c r="Q164" s="238"/>
      <c r="R164" s="238"/>
      <c r="S164" s="238"/>
      <c r="T164" s="238"/>
      <c r="U164" s="33">
        <f t="shared" ref="U164:U169" si="60">SUM(V164:X164)</f>
        <v>0.02</v>
      </c>
      <c r="V164" s="238">
        <v>0.02</v>
      </c>
      <c r="W164" s="238"/>
      <c r="X164" s="238"/>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v>0.01</v>
      </c>
      <c r="AW164" s="238"/>
      <c r="AX164" s="238"/>
      <c r="AY164" s="238"/>
      <c r="AZ164" s="238"/>
      <c r="BA164" s="238"/>
      <c r="BB164" s="238"/>
      <c r="BC164" s="238"/>
      <c r="BD164" s="238"/>
      <c r="BE164" s="238"/>
      <c r="BF164" s="238"/>
      <c r="BG164" s="238"/>
      <c r="BH164" s="238" t="s">
        <v>135</v>
      </c>
      <c r="BI164" s="226" t="s">
        <v>134</v>
      </c>
      <c r="BJ164" s="191" t="s">
        <v>426</v>
      </c>
      <c r="BK164" s="241" t="s">
        <v>120</v>
      </c>
      <c r="BL164" s="218" t="s">
        <v>202</v>
      </c>
      <c r="BM164" s="226" t="s">
        <v>206</v>
      </c>
    </row>
    <row r="165" spans="1:65" s="252" customFormat="1" ht="31.5" x14ac:dyDescent="0.25">
      <c r="A165" s="215">
        <f t="shared" si="59"/>
        <v>93</v>
      </c>
      <c r="B165" s="31" t="s">
        <v>427</v>
      </c>
      <c r="C165" s="226" t="s">
        <v>138</v>
      </c>
      <c r="D165" s="243" t="s">
        <v>38</v>
      </c>
      <c r="E165" s="20">
        <f t="shared" si="55"/>
        <v>9.9999999999999992E-2</v>
      </c>
      <c r="F165" s="20"/>
      <c r="G165" s="28">
        <f t="shared" si="58"/>
        <v>9.9999999999999992E-2</v>
      </c>
      <c r="H165" s="32"/>
      <c r="I165" s="32">
        <v>0.08</v>
      </c>
      <c r="J165" s="32"/>
      <c r="K165" s="32"/>
      <c r="L165" s="32"/>
      <c r="M165" s="235"/>
      <c r="N165" s="32"/>
      <c r="O165" s="32"/>
      <c r="P165" s="32"/>
      <c r="Q165" s="32"/>
      <c r="R165" s="32"/>
      <c r="S165" s="32"/>
      <c r="T165" s="32"/>
      <c r="U165" s="33"/>
      <c r="V165" s="32"/>
      <c r="W165" s="32"/>
      <c r="X165" s="32"/>
      <c r="Y165" s="32"/>
      <c r="Z165" s="32"/>
      <c r="AA165" s="32"/>
      <c r="AB165" s="32"/>
      <c r="AC165" s="32"/>
      <c r="AD165" s="32"/>
      <c r="AE165" s="32"/>
      <c r="AF165" s="32">
        <v>0.01</v>
      </c>
      <c r="AG165" s="32"/>
      <c r="AH165" s="32"/>
      <c r="AI165" s="32"/>
      <c r="AJ165" s="32"/>
      <c r="AK165" s="32"/>
      <c r="AL165" s="32"/>
      <c r="AM165" s="32"/>
      <c r="AN165" s="32"/>
      <c r="AO165" s="32"/>
      <c r="AP165" s="32"/>
      <c r="AQ165" s="32"/>
      <c r="AR165" s="32"/>
      <c r="AS165" s="32"/>
      <c r="AT165" s="32"/>
      <c r="AU165" s="32"/>
      <c r="AV165" s="32">
        <v>0.01</v>
      </c>
      <c r="AW165" s="32"/>
      <c r="AX165" s="32"/>
      <c r="AY165" s="32"/>
      <c r="AZ165" s="32"/>
      <c r="BA165" s="32"/>
      <c r="BB165" s="32"/>
      <c r="BC165" s="32"/>
      <c r="BD165" s="32"/>
      <c r="BE165" s="32"/>
      <c r="BF165" s="32"/>
      <c r="BG165" s="32"/>
      <c r="BH165" s="219" t="s">
        <v>139</v>
      </c>
      <c r="BI165" s="226" t="s">
        <v>138</v>
      </c>
      <c r="BJ165" s="226" t="s">
        <v>428</v>
      </c>
      <c r="BK165" s="241" t="s">
        <v>120</v>
      </c>
      <c r="BL165" s="218" t="s">
        <v>202</v>
      </c>
      <c r="BM165" s="226" t="s">
        <v>1026</v>
      </c>
    </row>
    <row r="166" spans="1:65" s="252" customFormat="1" x14ac:dyDescent="0.25">
      <c r="A166" s="215">
        <f t="shared" si="59"/>
        <v>94</v>
      </c>
      <c r="B166" s="31" t="s">
        <v>429</v>
      </c>
      <c r="C166" s="238" t="s">
        <v>91</v>
      </c>
      <c r="D166" s="238" t="s">
        <v>38</v>
      </c>
      <c r="E166" s="20">
        <f>F166+G166</f>
        <v>0.04</v>
      </c>
      <c r="F166" s="20"/>
      <c r="G166" s="28">
        <f t="shared" si="58"/>
        <v>0.04</v>
      </c>
      <c r="H166" s="238"/>
      <c r="I166" s="238"/>
      <c r="J166" s="238"/>
      <c r="K166" s="238"/>
      <c r="L166" s="238"/>
      <c r="M166" s="238"/>
      <c r="N166" s="238"/>
      <c r="O166" s="238"/>
      <c r="P166" s="238"/>
      <c r="Q166" s="238"/>
      <c r="R166" s="238"/>
      <c r="S166" s="238"/>
      <c r="T166" s="238"/>
      <c r="U166" s="238">
        <f t="shared" si="60"/>
        <v>0</v>
      </c>
      <c r="V166" s="238"/>
      <c r="W166" s="238"/>
      <c r="X166" s="247"/>
      <c r="Y166" s="247"/>
      <c r="Z166" s="238"/>
      <c r="AA166" s="238"/>
      <c r="AB166" s="238"/>
      <c r="AC166" s="238"/>
      <c r="AD166" s="247"/>
      <c r="AE166" s="247"/>
      <c r="AF166" s="247"/>
      <c r="AG166" s="238"/>
      <c r="AH166" s="238"/>
      <c r="AI166" s="238"/>
      <c r="AJ166" s="238"/>
      <c r="AK166" s="238"/>
      <c r="AL166" s="238"/>
      <c r="AM166" s="238"/>
      <c r="AN166" s="238"/>
      <c r="AO166" s="238"/>
      <c r="AP166" s="238">
        <v>0.04</v>
      </c>
      <c r="AQ166" s="238"/>
      <c r="AR166" s="238"/>
      <c r="AS166" s="238"/>
      <c r="AT166" s="238"/>
      <c r="AU166" s="247"/>
      <c r="AV166" s="247"/>
      <c r="AW166" s="238"/>
      <c r="AX166" s="247"/>
      <c r="AY166" s="238"/>
      <c r="AZ166" s="238"/>
      <c r="BA166" s="238"/>
      <c r="BB166" s="247"/>
      <c r="BC166" s="238"/>
      <c r="BD166" s="247"/>
      <c r="BE166" s="247"/>
      <c r="BF166" s="238"/>
      <c r="BG166" s="247"/>
      <c r="BH166" s="238" t="s">
        <v>430</v>
      </c>
      <c r="BI166" s="238" t="s">
        <v>91</v>
      </c>
      <c r="BJ166" s="238" t="s">
        <v>431</v>
      </c>
      <c r="BK166" s="241" t="s">
        <v>120</v>
      </c>
      <c r="BL166" s="218" t="s">
        <v>202</v>
      </c>
      <c r="BM166" s="226" t="s">
        <v>206</v>
      </c>
    </row>
    <row r="167" spans="1:65" s="252" customFormat="1" ht="31.5" x14ac:dyDescent="0.25">
      <c r="A167" s="215">
        <f t="shared" si="59"/>
        <v>95</v>
      </c>
      <c r="B167" s="31" t="s">
        <v>432</v>
      </c>
      <c r="C167" s="226" t="s">
        <v>158</v>
      </c>
      <c r="D167" s="243" t="s">
        <v>38</v>
      </c>
      <c r="E167" s="20">
        <f t="shared" si="55"/>
        <v>0.05</v>
      </c>
      <c r="F167" s="125"/>
      <c r="G167" s="28">
        <f t="shared" si="58"/>
        <v>0.05</v>
      </c>
      <c r="H167" s="235"/>
      <c r="I167" s="32">
        <v>0.01</v>
      </c>
      <c r="J167" s="32"/>
      <c r="K167" s="235">
        <v>0.01</v>
      </c>
      <c r="L167" s="64"/>
      <c r="M167" s="235"/>
      <c r="N167" s="235"/>
      <c r="O167" s="235"/>
      <c r="P167" s="235"/>
      <c r="Q167" s="235"/>
      <c r="R167" s="235"/>
      <c r="S167" s="235"/>
      <c r="T167" s="235"/>
      <c r="U167" s="33"/>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v>0.03</v>
      </c>
      <c r="AW167" s="235"/>
      <c r="AX167" s="235"/>
      <c r="AY167" s="235"/>
      <c r="AZ167" s="235"/>
      <c r="BA167" s="235"/>
      <c r="BB167" s="235"/>
      <c r="BC167" s="235"/>
      <c r="BD167" s="235"/>
      <c r="BE167" s="235"/>
      <c r="BF167" s="235"/>
      <c r="BG167" s="235"/>
      <c r="BH167" s="68" t="s">
        <v>159</v>
      </c>
      <c r="BI167" s="226" t="s">
        <v>158</v>
      </c>
      <c r="BJ167" s="68" t="s">
        <v>433</v>
      </c>
      <c r="BK167" s="241" t="s">
        <v>120</v>
      </c>
      <c r="BL167" s="218" t="s">
        <v>202</v>
      </c>
      <c r="BM167" s="226" t="s">
        <v>1026</v>
      </c>
    </row>
    <row r="168" spans="1:65" s="252" customFormat="1" ht="31.5" x14ac:dyDescent="0.25">
      <c r="A168" s="215">
        <f t="shared" si="59"/>
        <v>96</v>
      </c>
      <c r="B168" s="31" t="s">
        <v>434</v>
      </c>
      <c r="C168" s="219" t="s">
        <v>106</v>
      </c>
      <c r="D168" s="243" t="s">
        <v>38</v>
      </c>
      <c r="E168" s="20">
        <f t="shared" si="55"/>
        <v>0.2</v>
      </c>
      <c r="F168" s="21"/>
      <c r="G168" s="28">
        <f t="shared" si="58"/>
        <v>0.2</v>
      </c>
      <c r="H168" s="235"/>
      <c r="I168" s="235"/>
      <c r="J168" s="235"/>
      <c r="K168" s="32">
        <v>0.2</v>
      </c>
      <c r="L168" s="235"/>
      <c r="M168" s="235">
        <f>SUM(N168:P168)</f>
        <v>0</v>
      </c>
      <c r="N168" s="235"/>
      <c r="O168" s="235"/>
      <c r="P168" s="235"/>
      <c r="Q168" s="235"/>
      <c r="R168" s="235"/>
      <c r="S168" s="235"/>
      <c r="T168" s="235"/>
      <c r="U168" s="33"/>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32"/>
      <c r="AU168" s="235"/>
      <c r="AV168" s="235"/>
      <c r="AW168" s="235"/>
      <c r="AX168" s="235"/>
      <c r="AY168" s="235"/>
      <c r="AZ168" s="235"/>
      <c r="BA168" s="235"/>
      <c r="BB168" s="235"/>
      <c r="BC168" s="235"/>
      <c r="BD168" s="235"/>
      <c r="BE168" s="235"/>
      <c r="BF168" s="235"/>
      <c r="BG168" s="235"/>
      <c r="BH168" s="55" t="s">
        <v>107</v>
      </c>
      <c r="BI168" s="219" t="s">
        <v>106</v>
      </c>
      <c r="BJ168" s="219" t="s">
        <v>435</v>
      </c>
      <c r="BK168" s="241" t="s">
        <v>120</v>
      </c>
      <c r="BL168" s="218" t="s">
        <v>202</v>
      </c>
      <c r="BM168" s="226" t="s">
        <v>1026</v>
      </c>
    </row>
    <row r="169" spans="1:65" s="253" customFormat="1" x14ac:dyDescent="0.25">
      <c r="A169" s="215">
        <f t="shared" si="59"/>
        <v>97</v>
      </c>
      <c r="B169" s="31" t="s">
        <v>436</v>
      </c>
      <c r="C169" s="226" t="s">
        <v>166</v>
      </c>
      <c r="D169" s="243" t="s">
        <v>38</v>
      </c>
      <c r="E169" s="20">
        <f t="shared" si="55"/>
        <v>0.05</v>
      </c>
      <c r="F169" s="21"/>
      <c r="G169" s="28">
        <f t="shared" si="58"/>
        <v>0.05</v>
      </c>
      <c r="H169" s="235"/>
      <c r="I169" s="32"/>
      <c r="J169" s="32"/>
      <c r="K169" s="235"/>
      <c r="L169" s="235"/>
      <c r="M169" s="235"/>
      <c r="N169" s="235"/>
      <c r="O169" s="235"/>
      <c r="P169" s="235"/>
      <c r="Q169" s="235"/>
      <c r="R169" s="235"/>
      <c r="S169" s="235"/>
      <c r="T169" s="235"/>
      <c r="U169" s="33">
        <f t="shared" si="60"/>
        <v>0.05</v>
      </c>
      <c r="V169" s="235"/>
      <c r="W169" s="235">
        <v>0.05</v>
      </c>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G169" s="235"/>
      <c r="BH169" s="34" t="s">
        <v>167</v>
      </c>
      <c r="BI169" s="226" t="s">
        <v>166</v>
      </c>
      <c r="BJ169" s="226" t="s">
        <v>437</v>
      </c>
      <c r="BK169" s="25" t="s">
        <v>68</v>
      </c>
      <c r="BL169" s="218" t="s">
        <v>202</v>
      </c>
      <c r="BM169" s="226" t="s">
        <v>206</v>
      </c>
    </row>
    <row r="170" spans="1:65" s="252" customFormat="1" ht="31.5" x14ac:dyDescent="0.25">
      <c r="A170" s="215">
        <f t="shared" si="59"/>
        <v>98</v>
      </c>
      <c r="B170" s="126" t="s">
        <v>1088</v>
      </c>
      <c r="C170" s="219" t="s">
        <v>99</v>
      </c>
      <c r="D170" s="243" t="s">
        <v>38</v>
      </c>
      <c r="E170" s="20">
        <f t="shared" si="55"/>
        <v>0.15</v>
      </c>
      <c r="F170" s="21"/>
      <c r="G170" s="28">
        <v>0.15</v>
      </c>
      <c r="H170" s="235"/>
      <c r="I170" s="235"/>
      <c r="J170" s="235"/>
      <c r="K170" s="60"/>
      <c r="L170" s="235"/>
      <c r="M170" s="235">
        <f>SUM(N170:P170)</f>
        <v>0</v>
      </c>
      <c r="N170" s="235"/>
      <c r="O170" s="235"/>
      <c r="P170" s="235"/>
      <c r="Q170" s="235"/>
      <c r="R170" s="235"/>
      <c r="S170" s="235"/>
      <c r="T170" s="235"/>
      <c r="U170" s="33"/>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G170" s="235">
        <v>0.15</v>
      </c>
      <c r="BH170" s="219" t="s">
        <v>100</v>
      </c>
      <c r="BI170" s="219" t="s">
        <v>99</v>
      </c>
      <c r="BJ170" s="226" t="s">
        <v>162</v>
      </c>
      <c r="BK170" s="241" t="s">
        <v>120</v>
      </c>
      <c r="BL170" s="218" t="s">
        <v>202</v>
      </c>
      <c r="BM170" s="226" t="s">
        <v>1026</v>
      </c>
    </row>
    <row r="171" spans="1:65" s="252" customFormat="1" ht="31.5" x14ac:dyDescent="0.25">
      <c r="A171" s="215">
        <f t="shared" si="59"/>
        <v>99</v>
      </c>
      <c r="B171" s="126" t="s">
        <v>438</v>
      </c>
      <c r="C171" s="226" t="s">
        <v>79</v>
      </c>
      <c r="D171" s="243" t="s">
        <v>38</v>
      </c>
      <c r="E171" s="20">
        <f t="shared" si="55"/>
        <v>0.1</v>
      </c>
      <c r="F171" s="21"/>
      <c r="G171" s="28">
        <f t="shared" ref="G171:G179" si="61">SUM(H171:M171,Q171,U171,Y171:BG171)</f>
        <v>0.1</v>
      </c>
      <c r="H171" s="235"/>
      <c r="I171" s="235"/>
      <c r="J171" s="235"/>
      <c r="K171" s="32"/>
      <c r="L171" s="235">
        <v>0.1</v>
      </c>
      <c r="M171" s="235">
        <f>SUM(N171:P171)</f>
        <v>0</v>
      </c>
      <c r="N171" s="235"/>
      <c r="O171" s="235"/>
      <c r="P171" s="235"/>
      <c r="Q171" s="33">
        <f>R171+S171+T171</f>
        <v>0</v>
      </c>
      <c r="R171" s="235"/>
      <c r="S171" s="235"/>
      <c r="T171" s="235"/>
      <c r="U171" s="33"/>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G171" s="235"/>
      <c r="BH171" s="63" t="s">
        <v>270</v>
      </c>
      <c r="BI171" s="226" t="s">
        <v>79</v>
      </c>
      <c r="BJ171" s="226" t="s">
        <v>439</v>
      </c>
      <c r="BK171" s="241" t="s">
        <v>68</v>
      </c>
      <c r="BL171" s="218" t="s">
        <v>202</v>
      </c>
      <c r="BM171" s="226" t="s">
        <v>1026</v>
      </c>
    </row>
    <row r="172" spans="1:65" s="252" customFormat="1" ht="31.5" x14ac:dyDescent="0.25">
      <c r="A172" s="215">
        <f t="shared" si="59"/>
        <v>100</v>
      </c>
      <c r="B172" s="126" t="s">
        <v>440</v>
      </c>
      <c r="C172" s="226" t="s">
        <v>142</v>
      </c>
      <c r="D172" s="243" t="s">
        <v>38</v>
      </c>
      <c r="E172" s="20">
        <f t="shared" si="55"/>
        <v>0.01</v>
      </c>
      <c r="F172" s="21"/>
      <c r="G172" s="28">
        <f t="shared" si="61"/>
        <v>0.01</v>
      </c>
      <c r="H172" s="235"/>
      <c r="I172" s="235"/>
      <c r="J172" s="235"/>
      <c r="K172" s="32"/>
      <c r="L172" s="235"/>
      <c r="M172" s="235">
        <f>SUM(N172:P172)</f>
        <v>0</v>
      </c>
      <c r="N172" s="235"/>
      <c r="O172" s="235"/>
      <c r="P172" s="235"/>
      <c r="Q172" s="235"/>
      <c r="R172" s="235"/>
      <c r="S172" s="235"/>
      <c r="T172" s="235"/>
      <c r="U172" s="33"/>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32"/>
      <c r="AU172" s="235"/>
      <c r="AV172" s="235">
        <v>0.01</v>
      </c>
      <c r="AW172" s="235"/>
      <c r="AX172" s="235"/>
      <c r="AY172" s="235"/>
      <c r="AZ172" s="235"/>
      <c r="BA172" s="235"/>
      <c r="BB172" s="235"/>
      <c r="BC172" s="235"/>
      <c r="BD172" s="235"/>
      <c r="BE172" s="235"/>
      <c r="BF172" s="235"/>
      <c r="BG172" s="235"/>
      <c r="BH172" s="232" t="s">
        <v>143</v>
      </c>
      <c r="BI172" s="226" t="s">
        <v>142</v>
      </c>
      <c r="BJ172" s="226" t="s">
        <v>441</v>
      </c>
      <c r="BK172" s="241" t="s">
        <v>120</v>
      </c>
      <c r="BL172" s="218" t="s">
        <v>202</v>
      </c>
      <c r="BM172" s="226" t="s">
        <v>1026</v>
      </c>
    </row>
    <row r="173" spans="1:65" s="252" customFormat="1" ht="31.5" x14ac:dyDescent="0.25">
      <c r="A173" s="215">
        <f t="shared" si="59"/>
        <v>101</v>
      </c>
      <c r="B173" s="126" t="s">
        <v>442</v>
      </c>
      <c r="C173" s="226" t="s">
        <v>95</v>
      </c>
      <c r="D173" s="243" t="s">
        <v>38</v>
      </c>
      <c r="E173" s="20">
        <f t="shared" si="55"/>
        <v>0.06</v>
      </c>
      <c r="F173" s="21"/>
      <c r="G173" s="28">
        <f t="shared" si="61"/>
        <v>0.06</v>
      </c>
      <c r="H173" s="235"/>
      <c r="I173" s="32"/>
      <c r="J173" s="32"/>
      <c r="K173" s="235">
        <v>0.06</v>
      </c>
      <c r="L173" s="235"/>
      <c r="M173" s="235">
        <f>SUM(N173:P173)</f>
        <v>0</v>
      </c>
      <c r="N173" s="235"/>
      <c r="O173" s="235"/>
      <c r="P173" s="235"/>
      <c r="Q173" s="235"/>
      <c r="R173" s="235"/>
      <c r="S173" s="235"/>
      <c r="T173" s="235"/>
      <c r="U173" s="33"/>
      <c r="V173" s="32"/>
      <c r="W173" s="32"/>
      <c r="X173" s="32"/>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120"/>
      <c r="AW173" s="235"/>
      <c r="AX173" s="235"/>
      <c r="AY173" s="235"/>
      <c r="AZ173" s="235"/>
      <c r="BA173" s="235"/>
      <c r="BB173" s="235"/>
      <c r="BC173" s="235"/>
      <c r="BD173" s="235"/>
      <c r="BE173" s="235"/>
      <c r="BF173" s="235"/>
      <c r="BG173" s="235"/>
      <c r="BH173" s="219" t="s">
        <v>96</v>
      </c>
      <c r="BI173" s="226" t="s">
        <v>95</v>
      </c>
      <c r="BJ173" s="226" t="s">
        <v>443</v>
      </c>
      <c r="BK173" s="241" t="s">
        <v>120</v>
      </c>
      <c r="BL173" s="218" t="s">
        <v>444</v>
      </c>
      <c r="BM173" s="226" t="s">
        <v>1026</v>
      </c>
    </row>
    <row r="174" spans="1:65" s="253" customFormat="1" ht="31.5" x14ac:dyDescent="0.25">
      <c r="A174" s="249">
        <f>A170+1</f>
        <v>99</v>
      </c>
      <c r="B174" s="216" t="s">
        <v>445</v>
      </c>
      <c r="C174" s="226" t="s">
        <v>65</v>
      </c>
      <c r="D174" s="243" t="s">
        <v>38</v>
      </c>
      <c r="E174" s="20">
        <f t="shared" si="55"/>
        <v>0.3</v>
      </c>
      <c r="F174" s="21"/>
      <c r="G174" s="28">
        <f t="shared" si="61"/>
        <v>0.3</v>
      </c>
      <c r="H174" s="235">
        <v>0.21</v>
      </c>
      <c r="I174" s="32">
        <v>0.09</v>
      </c>
      <c r="J174" s="32"/>
      <c r="K174" s="235"/>
      <c r="L174" s="235"/>
      <c r="M174" s="235"/>
      <c r="N174" s="235"/>
      <c r="O174" s="235"/>
      <c r="P174" s="235"/>
      <c r="Q174" s="235"/>
      <c r="R174" s="235"/>
      <c r="S174" s="235"/>
      <c r="T174" s="235"/>
      <c r="U174" s="33"/>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34" t="s">
        <v>66</v>
      </c>
      <c r="BI174" s="226" t="s">
        <v>65</v>
      </c>
      <c r="BJ174" s="226" t="s">
        <v>446</v>
      </c>
      <c r="BK174" s="241" t="s">
        <v>120</v>
      </c>
      <c r="BL174" s="218" t="s">
        <v>1013</v>
      </c>
      <c r="BM174" s="226" t="s">
        <v>206</v>
      </c>
    </row>
    <row r="175" spans="1:65" s="252" customFormat="1" ht="31.5" x14ac:dyDescent="0.25">
      <c r="A175" s="249">
        <f>A174+1</f>
        <v>100</v>
      </c>
      <c r="B175" s="247" t="s">
        <v>447</v>
      </c>
      <c r="C175" s="238" t="s">
        <v>91</v>
      </c>
      <c r="D175" s="238" t="s">
        <v>38</v>
      </c>
      <c r="E175" s="20">
        <f t="shared" si="55"/>
        <v>0.08</v>
      </c>
      <c r="F175" s="20">
        <v>0.04</v>
      </c>
      <c r="G175" s="28">
        <f t="shared" si="61"/>
        <v>0.04</v>
      </c>
      <c r="H175" s="238"/>
      <c r="I175" s="238"/>
      <c r="J175" s="238"/>
      <c r="K175" s="238"/>
      <c r="L175" s="238"/>
      <c r="M175" s="238"/>
      <c r="N175" s="238"/>
      <c r="O175" s="238"/>
      <c r="P175" s="238"/>
      <c r="Q175" s="238"/>
      <c r="R175" s="238"/>
      <c r="S175" s="238"/>
      <c r="T175" s="238"/>
      <c r="U175" s="238">
        <f t="shared" ref="U175:U179" si="62">SUM(V175:X175)</f>
        <v>0.04</v>
      </c>
      <c r="V175" s="238">
        <v>0.04</v>
      </c>
      <c r="W175" s="238"/>
      <c r="X175" s="247"/>
      <c r="Y175" s="247"/>
      <c r="Z175" s="238"/>
      <c r="AA175" s="238"/>
      <c r="AB175" s="238"/>
      <c r="AC175" s="238"/>
      <c r="AD175" s="247"/>
      <c r="AE175" s="247"/>
      <c r="AF175" s="247"/>
      <c r="AG175" s="238"/>
      <c r="AH175" s="238"/>
      <c r="AI175" s="238"/>
      <c r="AJ175" s="238"/>
      <c r="AK175" s="238"/>
      <c r="AL175" s="238"/>
      <c r="AM175" s="238"/>
      <c r="AN175" s="238"/>
      <c r="AO175" s="238"/>
      <c r="AP175" s="238"/>
      <c r="AQ175" s="238"/>
      <c r="AR175" s="238"/>
      <c r="AS175" s="238"/>
      <c r="AT175" s="238"/>
      <c r="AU175" s="247"/>
      <c r="AV175" s="247"/>
      <c r="AW175" s="238"/>
      <c r="AX175" s="247"/>
      <c r="AY175" s="238"/>
      <c r="AZ175" s="238"/>
      <c r="BA175" s="238"/>
      <c r="BB175" s="247"/>
      <c r="BC175" s="238"/>
      <c r="BD175" s="247"/>
      <c r="BE175" s="247"/>
      <c r="BF175" s="238"/>
      <c r="BG175" s="247"/>
      <c r="BH175" s="238" t="s">
        <v>92</v>
      </c>
      <c r="BI175" s="238" t="s">
        <v>91</v>
      </c>
      <c r="BJ175" s="238" t="s">
        <v>448</v>
      </c>
      <c r="BK175" s="238" t="s">
        <v>415</v>
      </c>
      <c r="BL175" s="218" t="s">
        <v>202</v>
      </c>
      <c r="BM175" s="226" t="s">
        <v>206</v>
      </c>
    </row>
    <row r="176" spans="1:65" s="252" customFormat="1" ht="50.25" customHeight="1" x14ac:dyDescent="0.25">
      <c r="A176" s="249">
        <f>A175+1</f>
        <v>101</v>
      </c>
      <c r="B176" s="237" t="s">
        <v>449</v>
      </c>
      <c r="C176" s="226" t="s">
        <v>71</v>
      </c>
      <c r="D176" s="243" t="s">
        <v>38</v>
      </c>
      <c r="E176" s="20">
        <f t="shared" si="55"/>
        <v>0.23</v>
      </c>
      <c r="F176" s="20">
        <v>0.03</v>
      </c>
      <c r="G176" s="28">
        <f t="shared" si="61"/>
        <v>0.2</v>
      </c>
      <c r="H176" s="33"/>
      <c r="I176" s="51"/>
      <c r="J176" s="51"/>
      <c r="K176" s="51"/>
      <c r="L176" s="51"/>
      <c r="M176" s="235"/>
      <c r="N176" s="33"/>
      <c r="O176" s="33"/>
      <c r="P176" s="33"/>
      <c r="Q176" s="33"/>
      <c r="R176" s="33"/>
      <c r="S176" s="33"/>
      <c r="T176" s="33"/>
      <c r="U176" s="238">
        <f t="shared" si="62"/>
        <v>0.2</v>
      </c>
      <c r="V176" s="127">
        <f>0.05+0.15</f>
        <v>0.2</v>
      </c>
      <c r="W176" s="127"/>
      <c r="X176" s="127"/>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128" t="s">
        <v>76</v>
      </c>
      <c r="BI176" s="226" t="s">
        <v>71</v>
      </c>
      <c r="BJ176" s="226" t="s">
        <v>450</v>
      </c>
      <c r="BK176" s="241" t="s">
        <v>68</v>
      </c>
      <c r="BL176" s="218" t="s">
        <v>451</v>
      </c>
      <c r="BM176" s="226" t="s">
        <v>206</v>
      </c>
    </row>
    <row r="177" spans="1:240" s="252" customFormat="1" ht="51.75" customHeight="1" x14ac:dyDescent="0.25">
      <c r="A177" s="249">
        <f>A176+1</f>
        <v>102</v>
      </c>
      <c r="B177" s="237" t="s">
        <v>452</v>
      </c>
      <c r="C177" s="226" t="s">
        <v>99</v>
      </c>
      <c r="D177" s="243" t="s">
        <v>38</v>
      </c>
      <c r="E177" s="28">
        <f t="shared" si="55"/>
        <v>6.9999999999999993E-2</v>
      </c>
      <c r="F177" s="21">
        <v>0.01</v>
      </c>
      <c r="G177" s="28">
        <f t="shared" si="61"/>
        <v>0.06</v>
      </c>
      <c r="H177" s="235"/>
      <c r="I177" s="127"/>
      <c r="J177" s="127"/>
      <c r="K177" s="235"/>
      <c r="L177" s="235"/>
      <c r="M177" s="235">
        <f>SUM(N177:P177)</f>
        <v>0</v>
      </c>
      <c r="N177" s="235"/>
      <c r="O177" s="235"/>
      <c r="P177" s="235"/>
      <c r="Q177" s="235"/>
      <c r="R177" s="235"/>
      <c r="S177" s="235"/>
      <c r="T177" s="235"/>
      <c r="U177" s="238">
        <f t="shared" si="62"/>
        <v>0.06</v>
      </c>
      <c r="V177" s="120">
        <v>0.06</v>
      </c>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t="s">
        <v>411</v>
      </c>
      <c r="BI177" s="226" t="s">
        <v>99</v>
      </c>
      <c r="BJ177" s="226" t="s">
        <v>453</v>
      </c>
      <c r="BK177" s="241" t="s">
        <v>120</v>
      </c>
      <c r="BL177" s="218" t="s">
        <v>202</v>
      </c>
      <c r="BM177" s="226" t="s">
        <v>206</v>
      </c>
    </row>
    <row r="178" spans="1:240" s="252" customFormat="1" ht="51.75" customHeight="1" x14ac:dyDescent="0.25">
      <c r="A178" s="249">
        <f>A177+1</f>
        <v>103</v>
      </c>
      <c r="B178" s="237" t="s">
        <v>454</v>
      </c>
      <c r="C178" s="226" t="s">
        <v>106</v>
      </c>
      <c r="D178" s="243" t="s">
        <v>38</v>
      </c>
      <c r="E178" s="28">
        <f t="shared" si="55"/>
        <v>0.06</v>
      </c>
      <c r="F178" s="21">
        <v>0.03</v>
      </c>
      <c r="G178" s="28">
        <f t="shared" si="61"/>
        <v>0.03</v>
      </c>
      <c r="H178" s="235"/>
      <c r="I178" s="127"/>
      <c r="J178" s="127"/>
      <c r="K178" s="235"/>
      <c r="L178" s="235"/>
      <c r="M178" s="235">
        <f>SUM(N178:P178)</f>
        <v>0</v>
      </c>
      <c r="N178" s="235"/>
      <c r="O178" s="235"/>
      <c r="P178" s="235"/>
      <c r="Q178" s="235"/>
      <c r="R178" s="235"/>
      <c r="S178" s="235"/>
      <c r="T178" s="235"/>
      <c r="U178" s="238">
        <f t="shared" si="62"/>
        <v>0.03</v>
      </c>
      <c r="V178" s="120"/>
      <c r="W178" s="235"/>
      <c r="X178" s="235">
        <v>0.03</v>
      </c>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t="s">
        <v>107</v>
      </c>
      <c r="BI178" s="226" t="s">
        <v>106</v>
      </c>
      <c r="BJ178" s="226" t="s">
        <v>455</v>
      </c>
      <c r="BK178" s="241" t="s">
        <v>120</v>
      </c>
      <c r="BL178" s="218" t="s">
        <v>202</v>
      </c>
      <c r="BM178" s="226" t="s">
        <v>206</v>
      </c>
    </row>
    <row r="179" spans="1:240" s="253" customFormat="1" ht="31.5" x14ac:dyDescent="0.25">
      <c r="A179" s="249">
        <f>A178+1</f>
        <v>104</v>
      </c>
      <c r="B179" s="216" t="s">
        <v>456</v>
      </c>
      <c r="C179" s="226" t="s">
        <v>394</v>
      </c>
      <c r="D179" s="243" t="s">
        <v>38</v>
      </c>
      <c r="E179" s="20">
        <f t="shared" si="55"/>
        <v>4.5999999999999996</v>
      </c>
      <c r="F179" s="21"/>
      <c r="G179" s="28">
        <f t="shared" si="61"/>
        <v>4.5999999999999996</v>
      </c>
      <c r="H179" s="235"/>
      <c r="I179" s="32"/>
      <c r="J179" s="32"/>
      <c r="K179" s="235">
        <v>1.46</v>
      </c>
      <c r="L179" s="235">
        <v>1</v>
      </c>
      <c r="M179" s="235"/>
      <c r="N179" s="235"/>
      <c r="O179" s="235"/>
      <c r="P179" s="235"/>
      <c r="Q179" s="235"/>
      <c r="R179" s="235"/>
      <c r="S179" s="235"/>
      <c r="T179" s="235"/>
      <c r="U179" s="33">
        <f t="shared" si="62"/>
        <v>2.14</v>
      </c>
      <c r="V179" s="235">
        <f>2.14+0.15-0.15</f>
        <v>2.14</v>
      </c>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34"/>
      <c r="BI179" s="226" t="s">
        <v>394</v>
      </c>
      <c r="BJ179" s="226"/>
      <c r="BK179" s="238" t="s">
        <v>398</v>
      </c>
      <c r="BL179" s="218"/>
      <c r="BM179" s="226" t="s">
        <v>206</v>
      </c>
    </row>
    <row r="180" spans="1:240" s="253" customFormat="1" x14ac:dyDescent="0.25">
      <c r="A180" s="56" t="s">
        <v>457</v>
      </c>
      <c r="B180" s="70" t="s">
        <v>458</v>
      </c>
      <c r="C180" s="71"/>
      <c r="D180" s="44"/>
      <c r="E180" s="59">
        <f>G180+F180</f>
        <v>4.53</v>
      </c>
      <c r="F180" s="59">
        <f>SUM(F182:F187)</f>
        <v>0.15000000000000002</v>
      </c>
      <c r="G180" s="59">
        <f>SUM(G181:G187)</f>
        <v>4.38</v>
      </c>
      <c r="H180" s="59">
        <f>SUM(H181:H187)</f>
        <v>0.09</v>
      </c>
      <c r="I180" s="59">
        <f t="shared" ref="I180:BG180" si="63">SUM(I181:I187)</f>
        <v>0.05</v>
      </c>
      <c r="J180" s="59">
        <f t="shared" si="63"/>
        <v>0</v>
      </c>
      <c r="K180" s="59">
        <f t="shared" si="63"/>
        <v>0.23</v>
      </c>
      <c r="L180" s="59">
        <f t="shared" si="63"/>
        <v>0</v>
      </c>
      <c r="M180" s="59">
        <f t="shared" si="63"/>
        <v>0.02</v>
      </c>
      <c r="N180" s="59">
        <f t="shared" si="63"/>
        <v>0</v>
      </c>
      <c r="O180" s="59">
        <f t="shared" si="63"/>
        <v>0</v>
      </c>
      <c r="P180" s="59">
        <f t="shared" si="63"/>
        <v>0</v>
      </c>
      <c r="Q180" s="59">
        <f t="shared" si="63"/>
        <v>0</v>
      </c>
      <c r="R180" s="59">
        <f t="shared" si="63"/>
        <v>0</v>
      </c>
      <c r="S180" s="59">
        <f t="shared" si="63"/>
        <v>0</v>
      </c>
      <c r="T180" s="59">
        <f t="shared" si="63"/>
        <v>0</v>
      </c>
      <c r="U180" s="71">
        <f t="shared" si="63"/>
        <v>3.28</v>
      </c>
      <c r="V180" s="59">
        <f t="shared" si="63"/>
        <v>2.9299999999999997</v>
      </c>
      <c r="W180" s="59">
        <f t="shared" si="63"/>
        <v>0.15</v>
      </c>
      <c r="X180" s="59">
        <f t="shared" si="63"/>
        <v>0.2</v>
      </c>
      <c r="Y180" s="59">
        <f t="shared" si="63"/>
        <v>0</v>
      </c>
      <c r="Z180" s="59">
        <f t="shared" si="63"/>
        <v>0</v>
      </c>
      <c r="AA180" s="59">
        <f t="shared" si="63"/>
        <v>0</v>
      </c>
      <c r="AB180" s="59">
        <f t="shared" si="63"/>
        <v>0</v>
      </c>
      <c r="AC180" s="59">
        <f t="shared" si="63"/>
        <v>0</v>
      </c>
      <c r="AD180" s="59">
        <f t="shared" si="63"/>
        <v>0</v>
      </c>
      <c r="AE180" s="59">
        <f t="shared" si="63"/>
        <v>0</v>
      </c>
      <c r="AF180" s="59">
        <f t="shared" si="63"/>
        <v>9.9999999999999992E-2</v>
      </c>
      <c r="AG180" s="59">
        <f t="shared" si="63"/>
        <v>0</v>
      </c>
      <c r="AH180" s="59">
        <f t="shared" si="63"/>
        <v>0</v>
      </c>
      <c r="AI180" s="59">
        <f t="shared" si="63"/>
        <v>0</v>
      </c>
      <c r="AJ180" s="59">
        <f t="shared" si="63"/>
        <v>0</v>
      </c>
      <c r="AK180" s="59">
        <f t="shared" si="63"/>
        <v>0</v>
      </c>
      <c r="AL180" s="59">
        <f t="shared" si="63"/>
        <v>0</v>
      </c>
      <c r="AM180" s="59">
        <f t="shared" si="63"/>
        <v>0</v>
      </c>
      <c r="AN180" s="59">
        <f t="shared" si="63"/>
        <v>0</v>
      </c>
      <c r="AO180" s="59">
        <f t="shared" si="63"/>
        <v>0</v>
      </c>
      <c r="AP180" s="59">
        <f t="shared" si="63"/>
        <v>0</v>
      </c>
      <c r="AQ180" s="59">
        <f t="shared" si="63"/>
        <v>0</v>
      </c>
      <c r="AR180" s="59">
        <f t="shared" si="63"/>
        <v>0</v>
      </c>
      <c r="AS180" s="59">
        <f t="shared" si="63"/>
        <v>0</v>
      </c>
      <c r="AT180" s="59">
        <f t="shared" si="63"/>
        <v>0.01</v>
      </c>
      <c r="AU180" s="59">
        <f t="shared" si="63"/>
        <v>0</v>
      </c>
      <c r="AV180" s="59">
        <f t="shared" si="63"/>
        <v>6.9999999999999993E-2</v>
      </c>
      <c r="AW180" s="59">
        <f t="shared" si="63"/>
        <v>0</v>
      </c>
      <c r="AX180" s="59">
        <f t="shared" si="63"/>
        <v>0</v>
      </c>
      <c r="AY180" s="59">
        <f t="shared" si="63"/>
        <v>0</v>
      </c>
      <c r="AZ180" s="59">
        <f t="shared" si="63"/>
        <v>0</v>
      </c>
      <c r="BA180" s="59">
        <f t="shared" si="63"/>
        <v>0</v>
      </c>
      <c r="BB180" s="59">
        <f t="shared" si="63"/>
        <v>0</v>
      </c>
      <c r="BC180" s="59">
        <f t="shared" si="63"/>
        <v>0</v>
      </c>
      <c r="BD180" s="59">
        <f t="shared" si="63"/>
        <v>0.08</v>
      </c>
      <c r="BE180" s="59">
        <f t="shared" si="63"/>
        <v>0</v>
      </c>
      <c r="BF180" s="59">
        <f t="shared" si="63"/>
        <v>0</v>
      </c>
      <c r="BG180" s="59">
        <f t="shared" si="63"/>
        <v>0.45</v>
      </c>
      <c r="BH180" s="71"/>
      <c r="BI180" s="71"/>
      <c r="BJ180" s="71"/>
      <c r="BK180" s="238"/>
      <c r="BL180" s="47"/>
      <c r="BM180" s="238"/>
    </row>
    <row r="181" spans="1:240" s="252" customFormat="1" ht="31.5" x14ac:dyDescent="0.25">
      <c r="A181" s="249">
        <f>A179+1</f>
        <v>105</v>
      </c>
      <c r="B181" s="221" t="s">
        <v>459</v>
      </c>
      <c r="C181" s="90" t="s">
        <v>65</v>
      </c>
      <c r="D181" s="218" t="s">
        <v>39</v>
      </c>
      <c r="E181" s="20">
        <f>F181+G181</f>
        <v>3.53</v>
      </c>
      <c r="F181" s="21"/>
      <c r="G181" s="28">
        <f>SUM(H181:M181,Q181,U181,Y181:BG181)</f>
        <v>3.53</v>
      </c>
      <c r="H181" s="235"/>
      <c r="I181" s="235">
        <v>0.02</v>
      </c>
      <c r="J181" s="235"/>
      <c r="K181" s="235"/>
      <c r="L181" s="235"/>
      <c r="M181" s="235"/>
      <c r="N181" s="235"/>
      <c r="O181" s="235"/>
      <c r="P181" s="235"/>
      <c r="Q181" s="33"/>
      <c r="R181" s="235"/>
      <c r="S181" s="235"/>
      <c r="T181" s="235"/>
      <c r="U181" s="33">
        <f>SUM(V181:X181)</f>
        <v>2.8899999999999997</v>
      </c>
      <c r="V181" s="235">
        <f>2.51-0.13+0.07+0.2+0.23+0.01</f>
        <v>2.8899999999999997</v>
      </c>
      <c r="W181" s="235"/>
      <c r="X181" s="235"/>
      <c r="Y181" s="235"/>
      <c r="Z181" s="235"/>
      <c r="AA181" s="235"/>
      <c r="AB181" s="235"/>
      <c r="AC181" s="235"/>
      <c r="AD181" s="235"/>
      <c r="AE181" s="235"/>
      <c r="AF181" s="235">
        <v>0.09</v>
      </c>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v>0.08</v>
      </c>
      <c r="BE181" s="235"/>
      <c r="BF181" s="235"/>
      <c r="BG181" s="235">
        <v>0.45</v>
      </c>
      <c r="BH181" s="235" t="s">
        <v>311</v>
      </c>
      <c r="BI181" s="90" t="s">
        <v>65</v>
      </c>
      <c r="BJ181" s="243" t="s">
        <v>460</v>
      </c>
      <c r="BK181" s="66" t="s">
        <v>415</v>
      </c>
      <c r="BL181" s="218" t="s">
        <v>461</v>
      </c>
      <c r="BM181" s="226" t="s">
        <v>206</v>
      </c>
    </row>
    <row r="182" spans="1:240" s="253" customFormat="1" ht="32.25" customHeight="1" x14ac:dyDescent="0.25">
      <c r="A182" s="471">
        <f>A181+1</f>
        <v>106</v>
      </c>
      <c r="B182" s="470" t="s">
        <v>462</v>
      </c>
      <c r="C182" s="90" t="s">
        <v>122</v>
      </c>
      <c r="D182" s="218" t="s">
        <v>39</v>
      </c>
      <c r="E182" s="78">
        <v>0.15</v>
      </c>
      <c r="F182" s="78"/>
      <c r="G182" s="73">
        <v>0.15</v>
      </c>
      <c r="H182" s="62">
        <v>0.08</v>
      </c>
      <c r="I182" s="62">
        <v>0.03</v>
      </c>
      <c r="J182" s="62"/>
      <c r="K182" s="62"/>
      <c r="L182" s="62"/>
      <c r="M182" s="235">
        <v>0.02</v>
      </c>
      <c r="N182" s="62"/>
      <c r="O182" s="62"/>
      <c r="P182" s="62"/>
      <c r="Q182" s="62"/>
      <c r="R182" s="62"/>
      <c r="S182" s="62"/>
      <c r="T182" s="62"/>
      <c r="U182" s="33"/>
      <c r="V182" s="49"/>
      <c r="W182" s="49"/>
      <c r="X182" s="62"/>
      <c r="Y182" s="62"/>
      <c r="Z182" s="62"/>
      <c r="AA182" s="62"/>
      <c r="AB182" s="62"/>
      <c r="AC182" s="62"/>
      <c r="AD182" s="62"/>
      <c r="AE182" s="62"/>
      <c r="AF182" s="62">
        <v>0.01</v>
      </c>
      <c r="AG182" s="62"/>
      <c r="AH182" s="62"/>
      <c r="AI182" s="62"/>
      <c r="AJ182" s="62"/>
      <c r="AK182" s="62"/>
      <c r="AL182" s="62"/>
      <c r="AM182" s="62"/>
      <c r="AN182" s="62"/>
      <c r="AO182" s="62"/>
      <c r="AP182" s="62"/>
      <c r="AQ182" s="62"/>
      <c r="AR182" s="62"/>
      <c r="AS182" s="62"/>
      <c r="AT182" s="49">
        <v>0.01</v>
      </c>
      <c r="AU182" s="62"/>
      <c r="AV182" s="62"/>
      <c r="AW182" s="62"/>
      <c r="AX182" s="62"/>
      <c r="AY182" s="62"/>
      <c r="AZ182" s="62"/>
      <c r="BA182" s="62"/>
      <c r="BB182" s="62"/>
      <c r="BC182" s="62"/>
      <c r="BD182" s="62"/>
      <c r="BE182" s="62"/>
      <c r="BF182" s="62"/>
      <c r="BG182" s="62"/>
      <c r="BH182" s="219" t="s">
        <v>123</v>
      </c>
      <c r="BI182" s="90" t="s">
        <v>122</v>
      </c>
      <c r="BJ182" s="226" t="s">
        <v>463</v>
      </c>
      <c r="BK182" s="234" t="s">
        <v>68</v>
      </c>
      <c r="BL182" s="238" t="s">
        <v>202</v>
      </c>
      <c r="BM182" s="226" t="s">
        <v>1026</v>
      </c>
    </row>
    <row r="183" spans="1:240" s="252" customFormat="1" ht="32.25" customHeight="1" x14ac:dyDescent="0.25">
      <c r="A183" s="471"/>
      <c r="B183" s="470"/>
      <c r="C183" s="219" t="s">
        <v>106</v>
      </c>
      <c r="D183" s="218" t="s">
        <v>39</v>
      </c>
      <c r="E183" s="78">
        <f t="shared" ref="E183:E188" si="64">F183+G183</f>
        <v>0.2</v>
      </c>
      <c r="F183" s="78"/>
      <c r="G183" s="30">
        <f>SUM(H183:M183,Q183,U183,Y183:BG183)</f>
        <v>0.2</v>
      </c>
      <c r="H183" s="49"/>
      <c r="I183" s="49"/>
      <c r="J183" s="49"/>
      <c r="K183" s="49"/>
      <c r="L183" s="49"/>
      <c r="M183" s="235">
        <f>SUM(N183:P183)</f>
        <v>0</v>
      </c>
      <c r="N183" s="49"/>
      <c r="O183" s="49"/>
      <c r="P183" s="49"/>
      <c r="Q183" s="49"/>
      <c r="R183" s="49"/>
      <c r="S183" s="49"/>
      <c r="T183" s="49"/>
      <c r="U183" s="33">
        <f>SUM(V183:X183)</f>
        <v>0.2</v>
      </c>
      <c r="V183" s="49"/>
      <c r="W183" s="49"/>
      <c r="X183" s="49">
        <v>0.2</v>
      </c>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235" t="s">
        <v>107</v>
      </c>
      <c r="BI183" s="219" t="s">
        <v>106</v>
      </c>
      <c r="BJ183" s="219" t="s">
        <v>464</v>
      </c>
      <c r="BK183" s="241" t="s">
        <v>398</v>
      </c>
      <c r="BL183" s="238" t="s">
        <v>202</v>
      </c>
      <c r="BM183" s="226" t="s">
        <v>1026</v>
      </c>
    </row>
    <row r="184" spans="1:240" s="252" customFormat="1" ht="32.25" customHeight="1" x14ac:dyDescent="0.25">
      <c r="A184" s="471"/>
      <c r="B184" s="470"/>
      <c r="C184" s="219" t="s">
        <v>142</v>
      </c>
      <c r="D184" s="218" t="s">
        <v>39</v>
      </c>
      <c r="E184" s="78">
        <f t="shared" si="64"/>
        <v>0.23</v>
      </c>
      <c r="F184" s="78"/>
      <c r="G184" s="30">
        <f>SUM(H184:M184,Q184,U184,Y184:BG184)</f>
        <v>0.23</v>
      </c>
      <c r="H184" s="49"/>
      <c r="I184" s="49"/>
      <c r="J184" s="49"/>
      <c r="K184" s="49">
        <v>0.23</v>
      </c>
      <c r="L184" s="49"/>
      <c r="M184" s="235"/>
      <c r="N184" s="49"/>
      <c r="O184" s="49"/>
      <c r="P184" s="49"/>
      <c r="Q184" s="49"/>
      <c r="R184" s="49"/>
      <c r="S184" s="49"/>
      <c r="T184" s="49"/>
      <c r="U184" s="33"/>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235" t="s">
        <v>143</v>
      </c>
      <c r="BI184" s="219" t="s">
        <v>142</v>
      </c>
      <c r="BJ184" s="219" t="s">
        <v>1019</v>
      </c>
      <c r="BK184" s="218" t="s">
        <v>120</v>
      </c>
      <c r="BL184" s="238" t="s">
        <v>202</v>
      </c>
      <c r="BM184" s="226" t="s">
        <v>1026</v>
      </c>
    </row>
    <row r="185" spans="1:240" s="252" customFormat="1" ht="32.25" customHeight="1" x14ac:dyDescent="0.25">
      <c r="A185" s="471"/>
      <c r="B185" s="470"/>
      <c r="C185" s="226" t="s">
        <v>166</v>
      </c>
      <c r="D185" s="218" t="s">
        <v>39</v>
      </c>
      <c r="E185" s="78">
        <f t="shared" si="64"/>
        <v>0.2</v>
      </c>
      <c r="F185" s="78"/>
      <c r="G185" s="30">
        <f>SUM(H185:M185,Q185,U185,Y185:BG185)</f>
        <v>0.2</v>
      </c>
      <c r="H185" s="49">
        <v>0.01</v>
      </c>
      <c r="I185" s="49"/>
      <c r="J185" s="49"/>
      <c r="K185" s="49"/>
      <c r="L185" s="49"/>
      <c r="M185" s="235">
        <f>SUM(N185:P185)</f>
        <v>0</v>
      </c>
      <c r="N185" s="49"/>
      <c r="O185" s="49"/>
      <c r="P185" s="49"/>
      <c r="Q185" s="49"/>
      <c r="R185" s="49"/>
      <c r="S185" s="49"/>
      <c r="T185" s="49"/>
      <c r="U185" s="33">
        <f>SUM(V185:X185)</f>
        <v>0.19</v>
      </c>
      <c r="V185" s="49">
        <v>0.04</v>
      </c>
      <c r="W185" s="49">
        <v>0.15</v>
      </c>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235" t="s">
        <v>167</v>
      </c>
      <c r="BI185" s="226" t="s">
        <v>166</v>
      </c>
      <c r="BJ185" s="226" t="s">
        <v>465</v>
      </c>
      <c r="BK185" s="241" t="s">
        <v>398</v>
      </c>
      <c r="BL185" s="238" t="s">
        <v>202</v>
      </c>
      <c r="BM185" s="226" t="s">
        <v>1026</v>
      </c>
    </row>
    <row r="186" spans="1:240" s="252" customFormat="1" ht="32.25" customHeight="1" x14ac:dyDescent="0.25">
      <c r="A186" s="471"/>
      <c r="B186" s="470"/>
      <c r="C186" s="226" t="s">
        <v>134</v>
      </c>
      <c r="D186" s="218" t="s">
        <v>39</v>
      </c>
      <c r="E186" s="78">
        <f t="shared" si="64"/>
        <v>0.08</v>
      </c>
      <c r="F186" s="78">
        <v>7.0000000000000007E-2</v>
      </c>
      <c r="G186" s="73">
        <f>SUM(H186:M186,Q186,U186,Y186:BG186)</f>
        <v>0.01</v>
      </c>
      <c r="H186" s="49"/>
      <c r="I186" s="49"/>
      <c r="J186" s="49"/>
      <c r="K186" s="49"/>
      <c r="L186" s="49"/>
      <c r="M186" s="235">
        <f>SUM(N186:P186)</f>
        <v>0</v>
      </c>
      <c r="N186" s="49"/>
      <c r="O186" s="49"/>
      <c r="P186" s="49"/>
      <c r="Q186" s="49"/>
      <c r="R186" s="49"/>
      <c r="S186" s="49"/>
      <c r="T186" s="49"/>
      <c r="U186" s="33"/>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v>0.01</v>
      </c>
      <c r="AW186" s="49"/>
      <c r="AX186" s="49"/>
      <c r="AY186" s="49"/>
      <c r="AZ186" s="49"/>
      <c r="BA186" s="49"/>
      <c r="BB186" s="49"/>
      <c r="BC186" s="49"/>
      <c r="BD186" s="49"/>
      <c r="BE186" s="49"/>
      <c r="BF186" s="49"/>
      <c r="BG186" s="49"/>
      <c r="BH186" s="235" t="s">
        <v>135</v>
      </c>
      <c r="BI186" s="226" t="s">
        <v>134</v>
      </c>
      <c r="BJ186" s="226" t="s">
        <v>466</v>
      </c>
      <c r="BK186" s="241" t="s">
        <v>68</v>
      </c>
      <c r="BL186" s="218" t="s">
        <v>467</v>
      </c>
      <c r="BM186" s="226" t="s">
        <v>1026</v>
      </c>
    </row>
    <row r="187" spans="1:240" s="252" customFormat="1" ht="32.25" customHeight="1" x14ac:dyDescent="0.25">
      <c r="A187" s="471"/>
      <c r="B187" s="470"/>
      <c r="C187" s="129" t="s">
        <v>99</v>
      </c>
      <c r="D187" s="243" t="s">
        <v>39</v>
      </c>
      <c r="E187" s="28">
        <f t="shared" si="64"/>
        <v>0.14000000000000001</v>
      </c>
      <c r="F187" s="27">
        <v>0.08</v>
      </c>
      <c r="G187" s="30">
        <f>SUM(H187:M187,Q187,U187,Y187:BG187)</f>
        <v>0.06</v>
      </c>
      <c r="H187" s="130"/>
      <c r="I187" s="131"/>
      <c r="J187" s="131"/>
      <c r="K187" s="131"/>
      <c r="L187" s="131"/>
      <c r="M187" s="131">
        <f>SUM(N187:P187)</f>
        <v>0</v>
      </c>
      <c r="N187" s="131"/>
      <c r="O187" s="131"/>
      <c r="P187" s="131"/>
      <c r="Q187" s="131"/>
      <c r="R187" s="131"/>
      <c r="S187" s="131"/>
      <c r="T187" s="131"/>
      <c r="U187" s="33"/>
      <c r="V187" s="235"/>
      <c r="W187" s="235"/>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v>0.06</v>
      </c>
      <c r="AW187" s="131"/>
      <c r="AX187" s="131"/>
      <c r="AY187" s="131"/>
      <c r="AZ187" s="131"/>
      <c r="BA187" s="131"/>
      <c r="BB187" s="131"/>
      <c r="BC187" s="131"/>
      <c r="BD187" s="131"/>
      <c r="BE187" s="131"/>
      <c r="BF187" s="131"/>
      <c r="BG187" s="131"/>
      <c r="BH187" s="235" t="s">
        <v>100</v>
      </c>
      <c r="BI187" s="129" t="s">
        <v>99</v>
      </c>
      <c r="BJ187" s="132" t="s">
        <v>468</v>
      </c>
      <c r="BK187" s="218" t="s">
        <v>120</v>
      </c>
      <c r="BL187" s="238" t="s">
        <v>202</v>
      </c>
      <c r="BM187" s="226" t="s">
        <v>206</v>
      </c>
      <c r="BN187" s="258"/>
      <c r="BO187" s="258"/>
      <c r="BP187" s="258"/>
      <c r="BQ187" s="258"/>
      <c r="BR187" s="258"/>
      <c r="BS187" s="258"/>
      <c r="BT187" s="258"/>
      <c r="BU187" s="258"/>
      <c r="BV187" s="258"/>
      <c r="BW187" s="258"/>
      <c r="BX187" s="258"/>
      <c r="BY187" s="258"/>
      <c r="BZ187" s="258"/>
      <c r="CA187" s="258"/>
      <c r="CB187" s="258"/>
      <c r="CC187" s="258"/>
      <c r="CD187" s="258"/>
      <c r="CE187" s="258"/>
      <c r="CF187" s="258"/>
      <c r="CG187" s="258"/>
      <c r="CH187" s="258"/>
      <c r="CI187" s="258"/>
      <c r="CJ187" s="258"/>
      <c r="CK187" s="258"/>
      <c r="CL187" s="258"/>
      <c r="CM187" s="258"/>
      <c r="CN187" s="258"/>
      <c r="CO187" s="258"/>
      <c r="CP187" s="258"/>
      <c r="CQ187" s="258"/>
      <c r="CR187" s="258"/>
      <c r="CS187" s="258"/>
      <c r="CT187" s="258"/>
      <c r="CU187" s="258"/>
      <c r="CV187" s="258"/>
      <c r="CW187" s="258"/>
      <c r="CX187" s="258"/>
      <c r="CY187" s="258"/>
      <c r="CZ187" s="258"/>
      <c r="DA187" s="258"/>
      <c r="DB187" s="258"/>
      <c r="DC187" s="258"/>
      <c r="DD187" s="258"/>
      <c r="DE187" s="258"/>
      <c r="DF187" s="258"/>
      <c r="DG187" s="258"/>
      <c r="DH187" s="258"/>
      <c r="DI187" s="258"/>
      <c r="DJ187" s="258"/>
      <c r="DK187" s="258"/>
      <c r="DL187" s="258"/>
      <c r="DM187" s="258"/>
      <c r="DN187" s="258"/>
      <c r="DO187" s="258"/>
      <c r="DP187" s="258"/>
      <c r="DQ187" s="258"/>
      <c r="DR187" s="258"/>
      <c r="DS187" s="258"/>
      <c r="DT187" s="258"/>
      <c r="DU187" s="258"/>
      <c r="DV187" s="258"/>
      <c r="DW187" s="258"/>
      <c r="DX187" s="258"/>
      <c r="DY187" s="258"/>
      <c r="DZ187" s="258"/>
      <c r="EA187" s="258"/>
      <c r="EB187" s="258"/>
      <c r="EC187" s="258"/>
      <c r="ED187" s="258"/>
      <c r="EE187" s="258"/>
      <c r="EF187" s="258"/>
      <c r="EG187" s="258"/>
      <c r="EH187" s="258"/>
      <c r="EI187" s="258"/>
      <c r="EJ187" s="258"/>
      <c r="EK187" s="258"/>
      <c r="EL187" s="258"/>
      <c r="EM187" s="258"/>
      <c r="EN187" s="258"/>
      <c r="EO187" s="258"/>
      <c r="EP187" s="258"/>
      <c r="EQ187" s="258"/>
      <c r="ER187" s="258"/>
      <c r="ES187" s="258"/>
      <c r="ET187" s="258"/>
      <c r="EU187" s="258"/>
      <c r="EV187" s="258"/>
      <c r="EW187" s="258"/>
      <c r="EX187" s="258"/>
      <c r="EY187" s="258"/>
      <c r="EZ187" s="258"/>
      <c r="FA187" s="258"/>
      <c r="FB187" s="258"/>
      <c r="FC187" s="258"/>
      <c r="FD187" s="258"/>
      <c r="FE187" s="258"/>
      <c r="FF187" s="258"/>
      <c r="FG187" s="258"/>
      <c r="FH187" s="258"/>
      <c r="FI187" s="258"/>
      <c r="FJ187" s="258"/>
      <c r="FK187" s="258"/>
      <c r="FL187" s="258"/>
      <c r="FM187" s="258"/>
      <c r="FN187" s="258"/>
      <c r="FO187" s="258"/>
      <c r="FP187" s="258"/>
      <c r="FQ187" s="258"/>
      <c r="FR187" s="258"/>
      <c r="FS187" s="258"/>
      <c r="FT187" s="258"/>
      <c r="FU187" s="258"/>
      <c r="FV187" s="258"/>
      <c r="FW187" s="258"/>
      <c r="FX187" s="258"/>
      <c r="FY187" s="258"/>
      <c r="FZ187" s="258"/>
      <c r="GA187" s="258"/>
      <c r="GB187" s="258"/>
      <c r="GC187" s="258"/>
      <c r="GD187" s="258"/>
      <c r="GE187" s="258"/>
      <c r="GF187" s="258"/>
      <c r="GG187" s="258"/>
      <c r="GH187" s="258"/>
      <c r="GI187" s="258"/>
      <c r="GJ187" s="258"/>
      <c r="GK187" s="258"/>
      <c r="GL187" s="258"/>
      <c r="GM187" s="258"/>
      <c r="GN187" s="258"/>
      <c r="GO187" s="258"/>
      <c r="GP187" s="258"/>
      <c r="GQ187" s="258"/>
      <c r="GR187" s="258"/>
      <c r="GS187" s="258"/>
      <c r="GT187" s="258"/>
      <c r="GU187" s="258"/>
      <c r="GV187" s="258"/>
      <c r="GW187" s="258"/>
      <c r="GX187" s="258"/>
      <c r="GY187" s="258"/>
      <c r="GZ187" s="258"/>
      <c r="HA187" s="258"/>
      <c r="HB187" s="258"/>
      <c r="HC187" s="258"/>
      <c r="HD187" s="258"/>
      <c r="HE187" s="258"/>
      <c r="HF187" s="258"/>
      <c r="HG187" s="258"/>
      <c r="HH187" s="258"/>
      <c r="HI187" s="258"/>
      <c r="HJ187" s="258"/>
      <c r="HK187" s="258"/>
      <c r="HL187" s="258"/>
      <c r="HM187" s="258"/>
      <c r="HN187" s="258"/>
      <c r="HO187" s="258"/>
      <c r="HP187" s="258"/>
      <c r="HQ187" s="258"/>
      <c r="HR187" s="258"/>
      <c r="HS187" s="258"/>
      <c r="HT187" s="258"/>
      <c r="HU187" s="258"/>
      <c r="HV187" s="258"/>
      <c r="HW187" s="258"/>
      <c r="HX187" s="258"/>
      <c r="HY187" s="258"/>
      <c r="HZ187" s="258"/>
      <c r="IA187" s="258"/>
      <c r="IB187" s="258"/>
      <c r="IC187" s="258"/>
      <c r="ID187" s="258"/>
      <c r="IE187" s="258"/>
      <c r="IF187" s="258"/>
    </row>
    <row r="188" spans="1:240" s="252" customFormat="1" ht="31.5" x14ac:dyDescent="0.25">
      <c r="A188" s="56" t="s">
        <v>469</v>
      </c>
      <c r="B188" s="70" t="s">
        <v>470</v>
      </c>
      <c r="C188" s="240"/>
      <c r="D188" s="44" t="s">
        <v>40</v>
      </c>
      <c r="E188" s="59">
        <f t="shared" si="64"/>
        <v>16.331300000000002</v>
      </c>
      <c r="F188" s="59">
        <f>SUM(F189:F216)</f>
        <v>3.1513</v>
      </c>
      <c r="G188" s="59">
        <f>SUM(G189:G216)</f>
        <v>13.180000000000001</v>
      </c>
      <c r="H188" s="59">
        <f>SUM(H189:H216)</f>
        <v>1.87</v>
      </c>
      <c r="I188" s="59">
        <f t="shared" ref="I188:BG188" si="65">SUM(I189:I216)</f>
        <v>6.0000000000000005E-2</v>
      </c>
      <c r="J188" s="59">
        <f t="shared" si="65"/>
        <v>0</v>
      </c>
      <c r="K188" s="59">
        <f t="shared" si="65"/>
        <v>3.9899999999999993</v>
      </c>
      <c r="L188" s="59">
        <f t="shared" si="65"/>
        <v>0.48999999999999994</v>
      </c>
      <c r="M188" s="59">
        <f t="shared" si="65"/>
        <v>0</v>
      </c>
      <c r="N188" s="59">
        <f t="shared" si="65"/>
        <v>0</v>
      </c>
      <c r="O188" s="59">
        <f t="shared" si="65"/>
        <v>0</v>
      </c>
      <c r="P188" s="59">
        <f t="shared" si="65"/>
        <v>0</v>
      </c>
      <c r="Q188" s="59">
        <f t="shared" si="65"/>
        <v>0</v>
      </c>
      <c r="R188" s="59">
        <f t="shared" si="65"/>
        <v>0</v>
      </c>
      <c r="S188" s="59">
        <f t="shared" si="65"/>
        <v>0</v>
      </c>
      <c r="T188" s="59">
        <f t="shared" si="65"/>
        <v>0</v>
      </c>
      <c r="U188" s="71">
        <f t="shared" si="65"/>
        <v>4.68</v>
      </c>
      <c r="V188" s="59">
        <f t="shared" si="65"/>
        <v>4.66</v>
      </c>
      <c r="W188" s="59">
        <f t="shared" si="65"/>
        <v>0.02</v>
      </c>
      <c r="X188" s="59">
        <f t="shared" si="65"/>
        <v>0</v>
      </c>
      <c r="Y188" s="59">
        <f t="shared" si="65"/>
        <v>0.03</v>
      </c>
      <c r="Z188" s="59">
        <f t="shared" si="65"/>
        <v>0</v>
      </c>
      <c r="AA188" s="59">
        <f t="shared" si="65"/>
        <v>0</v>
      </c>
      <c r="AB188" s="59">
        <f t="shared" si="65"/>
        <v>0</v>
      </c>
      <c r="AC188" s="59">
        <f t="shared" si="65"/>
        <v>0</v>
      </c>
      <c r="AD188" s="59">
        <f t="shared" si="65"/>
        <v>0</v>
      </c>
      <c r="AE188" s="59">
        <f t="shared" si="65"/>
        <v>0</v>
      </c>
      <c r="AF188" s="59">
        <f t="shared" si="65"/>
        <v>0.22000000000000003</v>
      </c>
      <c r="AG188" s="59">
        <f t="shared" si="65"/>
        <v>0.82000000000000006</v>
      </c>
      <c r="AH188" s="59">
        <f t="shared" si="65"/>
        <v>0</v>
      </c>
      <c r="AI188" s="59">
        <f t="shared" si="65"/>
        <v>0.01</v>
      </c>
      <c r="AJ188" s="59">
        <f t="shared" si="65"/>
        <v>0</v>
      </c>
      <c r="AK188" s="59">
        <f t="shared" si="65"/>
        <v>7.0000000000000007E-2</v>
      </c>
      <c r="AL188" s="59">
        <f t="shared" si="65"/>
        <v>0.02</v>
      </c>
      <c r="AM188" s="59">
        <f t="shared" si="65"/>
        <v>0.46</v>
      </c>
      <c r="AN188" s="59">
        <f t="shared" si="65"/>
        <v>0</v>
      </c>
      <c r="AO188" s="59">
        <f t="shared" si="65"/>
        <v>0</v>
      </c>
      <c r="AP188" s="59">
        <f t="shared" si="65"/>
        <v>0</v>
      </c>
      <c r="AQ188" s="59">
        <f t="shared" si="65"/>
        <v>0</v>
      </c>
      <c r="AR188" s="59">
        <f t="shared" si="65"/>
        <v>0</v>
      </c>
      <c r="AS188" s="59">
        <f t="shared" si="65"/>
        <v>0</v>
      </c>
      <c r="AT188" s="59">
        <f t="shared" si="65"/>
        <v>0.01</v>
      </c>
      <c r="AU188" s="59">
        <f t="shared" si="65"/>
        <v>0</v>
      </c>
      <c r="AV188" s="59">
        <f t="shared" si="65"/>
        <v>0.14000000000000001</v>
      </c>
      <c r="AW188" s="59">
        <f t="shared" si="65"/>
        <v>0</v>
      </c>
      <c r="AX188" s="59">
        <f t="shared" si="65"/>
        <v>0</v>
      </c>
      <c r="AY188" s="59">
        <f t="shared" si="65"/>
        <v>0</v>
      </c>
      <c r="AZ188" s="59">
        <f t="shared" si="65"/>
        <v>0</v>
      </c>
      <c r="BA188" s="59">
        <f t="shared" si="65"/>
        <v>0</v>
      </c>
      <c r="BB188" s="59">
        <f t="shared" si="65"/>
        <v>0</v>
      </c>
      <c r="BC188" s="59">
        <f t="shared" si="65"/>
        <v>0</v>
      </c>
      <c r="BD188" s="59">
        <f t="shared" si="65"/>
        <v>0</v>
      </c>
      <c r="BE188" s="59">
        <f t="shared" si="65"/>
        <v>0</v>
      </c>
      <c r="BF188" s="59">
        <f t="shared" si="65"/>
        <v>0</v>
      </c>
      <c r="BG188" s="59">
        <f t="shared" si="65"/>
        <v>0.31</v>
      </c>
      <c r="BH188" s="238"/>
      <c r="BI188" s="240"/>
      <c r="BJ188" s="240"/>
      <c r="BK188" s="240"/>
      <c r="BL188" s="47"/>
      <c r="BM188" s="238"/>
    </row>
    <row r="189" spans="1:240" s="252" customFormat="1" ht="31.5" x14ac:dyDescent="0.25">
      <c r="A189" s="133">
        <f>A182+1</f>
        <v>107</v>
      </c>
      <c r="B189" s="224" t="s">
        <v>471</v>
      </c>
      <c r="C189" s="36" t="s">
        <v>122</v>
      </c>
      <c r="D189" s="243" t="s">
        <v>40</v>
      </c>
      <c r="E189" s="28">
        <v>1.1399999999999999</v>
      </c>
      <c r="F189" s="21"/>
      <c r="G189" s="30">
        <f t="shared" ref="G189:G216" si="66">SUM(H189:M189,Q189,U189,Y189:BG189)</f>
        <v>1.1400000000000001</v>
      </c>
      <c r="H189" s="60">
        <v>0.93</v>
      </c>
      <c r="I189" s="131">
        <v>0.01</v>
      </c>
      <c r="J189" s="131"/>
      <c r="K189" s="235">
        <v>0.11</v>
      </c>
      <c r="L189" s="60">
        <v>0.01</v>
      </c>
      <c r="M189" s="131"/>
      <c r="N189" s="131"/>
      <c r="O189" s="131"/>
      <c r="P189" s="131"/>
      <c r="Q189" s="134"/>
      <c r="R189" s="131"/>
      <c r="S189" s="131"/>
      <c r="T189" s="131"/>
      <c r="U189" s="134"/>
      <c r="V189" s="135"/>
      <c r="W189" s="135"/>
      <c r="X189" s="135"/>
      <c r="Y189" s="131"/>
      <c r="Z189" s="131"/>
      <c r="AA189" s="131"/>
      <c r="AB189" s="131"/>
      <c r="AC189" s="131"/>
      <c r="AD189" s="131"/>
      <c r="AE189" s="131"/>
      <c r="AF189" s="131">
        <v>0.08</v>
      </c>
      <c r="AG189" s="131"/>
      <c r="AH189" s="131"/>
      <c r="AI189" s="131"/>
      <c r="AJ189" s="131"/>
      <c r="AK189" s="131"/>
      <c r="AL189" s="131"/>
      <c r="AM189" s="131"/>
      <c r="AN189" s="131"/>
      <c r="AO189" s="131"/>
      <c r="AP189" s="131"/>
      <c r="AQ189" s="131"/>
      <c r="AR189" s="131"/>
      <c r="AS189" s="131"/>
      <c r="AT189" s="131"/>
      <c r="AU189" s="131"/>
      <c r="AV189" s="136"/>
      <c r="AW189" s="131"/>
      <c r="AX189" s="131"/>
      <c r="AY189" s="131"/>
      <c r="AZ189" s="131"/>
      <c r="BA189" s="131"/>
      <c r="BB189" s="131"/>
      <c r="BC189" s="131"/>
      <c r="BD189" s="131"/>
      <c r="BE189" s="131"/>
      <c r="BF189" s="131"/>
      <c r="BG189" s="131"/>
      <c r="BH189" s="232" t="s">
        <v>123</v>
      </c>
      <c r="BI189" s="36" t="s">
        <v>122</v>
      </c>
      <c r="BJ189" s="226" t="s">
        <v>472</v>
      </c>
      <c r="BK189" s="66" t="s">
        <v>398</v>
      </c>
      <c r="BL189" s="218" t="s">
        <v>473</v>
      </c>
      <c r="BM189" s="226" t="s">
        <v>1026</v>
      </c>
    </row>
    <row r="190" spans="1:240" s="252" customFormat="1" x14ac:dyDescent="0.25">
      <c r="A190" s="133">
        <f>A189+1</f>
        <v>108</v>
      </c>
      <c r="B190" s="224" t="s">
        <v>474</v>
      </c>
      <c r="C190" s="36" t="s">
        <v>122</v>
      </c>
      <c r="D190" s="243" t="s">
        <v>40</v>
      </c>
      <c r="E190" s="28">
        <f t="shared" ref="E190:E234" si="67">F190+G190</f>
        <v>0.51</v>
      </c>
      <c r="F190" s="21">
        <v>0.39</v>
      </c>
      <c r="G190" s="30">
        <f t="shared" si="66"/>
        <v>0.12</v>
      </c>
      <c r="H190" s="60"/>
      <c r="I190" s="131"/>
      <c r="J190" s="131"/>
      <c r="K190" s="235">
        <v>0.04</v>
      </c>
      <c r="L190" s="60">
        <v>0.08</v>
      </c>
      <c r="M190" s="131"/>
      <c r="N190" s="131"/>
      <c r="O190" s="131"/>
      <c r="P190" s="131"/>
      <c r="Q190" s="134"/>
      <c r="R190" s="131"/>
      <c r="S190" s="131"/>
      <c r="T190" s="131"/>
      <c r="U190" s="134"/>
      <c r="V190" s="135"/>
      <c r="W190" s="135"/>
      <c r="X190" s="135"/>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6"/>
      <c r="AW190" s="131"/>
      <c r="AX190" s="131"/>
      <c r="AY190" s="131"/>
      <c r="AZ190" s="131"/>
      <c r="BA190" s="131"/>
      <c r="BB190" s="131"/>
      <c r="BC190" s="131"/>
      <c r="BD190" s="131"/>
      <c r="BE190" s="131"/>
      <c r="BF190" s="131"/>
      <c r="BG190" s="131"/>
      <c r="BH190" s="232" t="s">
        <v>275</v>
      </c>
      <c r="BI190" s="36" t="s">
        <v>122</v>
      </c>
      <c r="BJ190" s="36" t="s">
        <v>475</v>
      </c>
      <c r="BK190" s="241" t="s">
        <v>120</v>
      </c>
      <c r="BL190" s="218" t="s">
        <v>473</v>
      </c>
      <c r="BM190" s="226" t="s">
        <v>206</v>
      </c>
    </row>
    <row r="191" spans="1:240" s="252" customFormat="1" ht="31.5" x14ac:dyDescent="0.25">
      <c r="A191" s="133">
        <f t="shared" ref="A191:A216" si="68">A190+1</f>
        <v>109</v>
      </c>
      <c r="B191" s="237" t="s">
        <v>476</v>
      </c>
      <c r="C191" s="226" t="s">
        <v>71</v>
      </c>
      <c r="D191" s="243" t="s">
        <v>40</v>
      </c>
      <c r="E191" s="28">
        <f t="shared" si="67"/>
        <v>0.48</v>
      </c>
      <c r="F191" s="28">
        <v>0.22</v>
      </c>
      <c r="G191" s="30">
        <f t="shared" si="66"/>
        <v>0.26</v>
      </c>
      <c r="H191" s="130"/>
      <c r="I191" s="131"/>
      <c r="J191" s="131"/>
      <c r="K191" s="222"/>
      <c r="L191" s="222"/>
      <c r="M191" s="222">
        <f>SUM(N191:P191)</f>
        <v>0</v>
      </c>
      <c r="N191" s="222"/>
      <c r="O191" s="222"/>
      <c r="P191" s="222"/>
      <c r="Q191" s="222"/>
      <c r="R191" s="222"/>
      <c r="S191" s="222"/>
      <c r="T191" s="222"/>
      <c r="U191" s="222">
        <f>SUM(V191:X191)</f>
        <v>0.25</v>
      </c>
      <c r="V191" s="222">
        <v>0.25</v>
      </c>
      <c r="W191" s="235"/>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v>0.01</v>
      </c>
      <c r="BH191" s="128" t="s">
        <v>76</v>
      </c>
      <c r="BI191" s="226" t="s">
        <v>71</v>
      </c>
      <c r="BJ191" s="226" t="s">
        <v>477</v>
      </c>
      <c r="BK191" s="241" t="s">
        <v>120</v>
      </c>
      <c r="BL191" s="218" t="s">
        <v>473</v>
      </c>
      <c r="BM191" s="226" t="s">
        <v>1026</v>
      </c>
    </row>
    <row r="192" spans="1:240" s="252" customFormat="1" ht="63" x14ac:dyDescent="0.25">
      <c r="A192" s="133">
        <f t="shared" si="68"/>
        <v>110</v>
      </c>
      <c r="B192" s="237" t="s">
        <v>478</v>
      </c>
      <c r="C192" s="223" t="s">
        <v>79</v>
      </c>
      <c r="D192" s="243" t="s">
        <v>40</v>
      </c>
      <c r="E192" s="28">
        <f>F192+G192</f>
        <v>0.68</v>
      </c>
      <c r="F192" s="21"/>
      <c r="G192" s="30">
        <f t="shared" si="66"/>
        <v>0.68</v>
      </c>
      <c r="H192" s="137"/>
      <c r="I192" s="131"/>
      <c r="J192" s="131"/>
      <c r="K192" s="131"/>
      <c r="L192" s="131"/>
      <c r="M192" s="131">
        <f>SUM(N192:P192)</f>
        <v>0</v>
      </c>
      <c r="N192" s="131"/>
      <c r="O192" s="131"/>
      <c r="P192" s="131"/>
      <c r="Q192" s="134"/>
      <c r="R192" s="131"/>
      <c r="S192" s="131"/>
      <c r="T192" s="131"/>
      <c r="U192" s="134">
        <f>SUM(V192:X192)</f>
        <v>0.68</v>
      </c>
      <c r="V192" s="131">
        <v>0.68</v>
      </c>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28" t="s">
        <v>270</v>
      </c>
      <c r="BI192" s="223" t="s">
        <v>79</v>
      </c>
      <c r="BJ192" s="243" t="s">
        <v>479</v>
      </c>
      <c r="BK192" s="239" t="s">
        <v>375</v>
      </c>
      <c r="BL192" s="218" t="s">
        <v>480</v>
      </c>
      <c r="BM192" s="226" t="s">
        <v>1026</v>
      </c>
    </row>
    <row r="193" spans="1:65" s="259" customFormat="1" ht="63" x14ac:dyDescent="0.25">
      <c r="A193" s="133">
        <f t="shared" si="68"/>
        <v>111</v>
      </c>
      <c r="B193" s="138" t="s">
        <v>481</v>
      </c>
      <c r="C193" s="192" t="s">
        <v>79</v>
      </c>
      <c r="D193" s="243" t="s">
        <v>40</v>
      </c>
      <c r="E193" s="95">
        <f t="shared" si="67"/>
        <v>0.34</v>
      </c>
      <c r="F193" s="193"/>
      <c r="G193" s="194">
        <f t="shared" si="66"/>
        <v>0.34</v>
      </c>
      <c r="H193" s="195">
        <v>0.12</v>
      </c>
      <c r="I193" s="195"/>
      <c r="J193" s="195"/>
      <c r="K193" s="195">
        <v>0.01</v>
      </c>
      <c r="L193" s="195"/>
      <c r="M193" s="195">
        <f>SUM(N193:P193)</f>
        <v>0</v>
      </c>
      <c r="N193" s="195"/>
      <c r="O193" s="195"/>
      <c r="P193" s="195"/>
      <c r="Q193" s="196">
        <f>R193+S193+T193</f>
        <v>0</v>
      </c>
      <c r="R193" s="195"/>
      <c r="S193" s="195"/>
      <c r="T193" s="195"/>
      <c r="U193" s="196">
        <f>SUM(V193:X193)</f>
        <v>0.14000000000000001</v>
      </c>
      <c r="V193" s="195">
        <v>0.14000000000000001</v>
      </c>
      <c r="W193" s="195"/>
      <c r="X193" s="195"/>
      <c r="Y193" s="195"/>
      <c r="Z193" s="195"/>
      <c r="AA193" s="195"/>
      <c r="AB193" s="195"/>
      <c r="AC193" s="195"/>
      <c r="AD193" s="195"/>
      <c r="AE193" s="195"/>
      <c r="AF193" s="195">
        <v>7.0000000000000007E-2</v>
      </c>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t="s">
        <v>1142</v>
      </c>
      <c r="BD193" s="195"/>
      <c r="BE193" s="195"/>
      <c r="BF193" s="195"/>
      <c r="BG193" s="195"/>
      <c r="BH193" s="195" t="s">
        <v>482</v>
      </c>
      <c r="BI193" s="192" t="s">
        <v>79</v>
      </c>
      <c r="BJ193" s="226" t="s">
        <v>483</v>
      </c>
      <c r="BK193" s="241" t="s">
        <v>68</v>
      </c>
      <c r="BL193" s="218" t="s">
        <v>484</v>
      </c>
      <c r="BM193" s="195" t="s">
        <v>206</v>
      </c>
    </row>
    <row r="194" spans="1:65" s="252" customFormat="1" ht="31.5" x14ac:dyDescent="0.25">
      <c r="A194" s="133">
        <f t="shared" si="68"/>
        <v>112</v>
      </c>
      <c r="B194" s="224" t="s">
        <v>485</v>
      </c>
      <c r="C194" s="226" t="s">
        <v>134</v>
      </c>
      <c r="D194" s="243" t="s">
        <v>40</v>
      </c>
      <c r="E194" s="28">
        <f t="shared" si="67"/>
        <v>0.1</v>
      </c>
      <c r="F194" s="21"/>
      <c r="G194" s="30">
        <f t="shared" si="66"/>
        <v>0.1</v>
      </c>
      <c r="H194" s="137"/>
      <c r="I194" s="131"/>
      <c r="J194" s="131"/>
      <c r="K194" s="131"/>
      <c r="L194" s="235">
        <v>0.03</v>
      </c>
      <c r="M194" s="131"/>
      <c r="N194" s="131"/>
      <c r="O194" s="131"/>
      <c r="P194" s="131"/>
      <c r="Q194" s="131"/>
      <c r="R194" s="131"/>
      <c r="S194" s="131"/>
      <c r="T194" s="131"/>
      <c r="U194" s="134"/>
      <c r="V194" s="131"/>
      <c r="W194" s="131"/>
      <c r="X194" s="131"/>
      <c r="Y194" s="131"/>
      <c r="Z194" s="131"/>
      <c r="AA194" s="131"/>
      <c r="AB194" s="131"/>
      <c r="AC194" s="131"/>
      <c r="AD194" s="131"/>
      <c r="AE194" s="131"/>
      <c r="AF194" s="131">
        <v>0.01</v>
      </c>
      <c r="AG194" s="131"/>
      <c r="AH194" s="131"/>
      <c r="AI194" s="131"/>
      <c r="AJ194" s="131"/>
      <c r="AK194" s="131"/>
      <c r="AL194" s="131"/>
      <c r="AM194" s="131"/>
      <c r="AN194" s="131"/>
      <c r="AO194" s="131"/>
      <c r="AP194" s="131"/>
      <c r="AQ194" s="131"/>
      <c r="AR194" s="131"/>
      <c r="AS194" s="131"/>
      <c r="AT194" s="131"/>
      <c r="AU194" s="131"/>
      <c r="AV194" s="131">
        <v>0.06</v>
      </c>
      <c r="AW194" s="131"/>
      <c r="AX194" s="131"/>
      <c r="AY194" s="131"/>
      <c r="AZ194" s="131"/>
      <c r="BA194" s="131"/>
      <c r="BB194" s="131"/>
      <c r="BC194" s="131"/>
      <c r="BD194" s="131"/>
      <c r="BE194" s="131"/>
      <c r="BF194" s="131"/>
      <c r="BG194" s="131"/>
      <c r="BH194" s="235" t="s">
        <v>135</v>
      </c>
      <c r="BI194" s="226" t="s">
        <v>134</v>
      </c>
      <c r="BJ194" s="243" t="s">
        <v>486</v>
      </c>
      <c r="BK194" s="241" t="s">
        <v>1058</v>
      </c>
      <c r="BL194" s="218" t="s">
        <v>473</v>
      </c>
      <c r="BM194" s="226" t="s">
        <v>1026</v>
      </c>
    </row>
    <row r="195" spans="1:65" s="252" customFormat="1" ht="31.5" x14ac:dyDescent="0.25">
      <c r="A195" s="133">
        <f t="shared" si="68"/>
        <v>113</v>
      </c>
      <c r="B195" s="216" t="s">
        <v>487</v>
      </c>
      <c r="C195" s="226" t="s">
        <v>134</v>
      </c>
      <c r="D195" s="243" t="s">
        <v>40</v>
      </c>
      <c r="E195" s="28">
        <f t="shared" si="67"/>
        <v>0.18</v>
      </c>
      <c r="F195" s="21">
        <v>0.13</v>
      </c>
      <c r="G195" s="30">
        <f t="shared" si="66"/>
        <v>0.05</v>
      </c>
      <c r="H195" s="135"/>
      <c r="I195" s="131"/>
      <c r="J195" s="131"/>
      <c r="K195" s="131"/>
      <c r="L195" s="135">
        <v>0.05</v>
      </c>
      <c r="M195" s="131"/>
      <c r="N195" s="131"/>
      <c r="O195" s="131"/>
      <c r="P195" s="131"/>
      <c r="Q195" s="131"/>
      <c r="R195" s="131"/>
      <c r="S195" s="131"/>
      <c r="T195" s="131"/>
      <c r="U195" s="134"/>
      <c r="V195" s="135"/>
      <c r="W195" s="135"/>
      <c r="X195" s="135"/>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235" t="s">
        <v>277</v>
      </c>
      <c r="BI195" s="226" t="s">
        <v>134</v>
      </c>
      <c r="BJ195" s="226" t="s">
        <v>488</v>
      </c>
      <c r="BK195" s="66" t="s">
        <v>398</v>
      </c>
      <c r="BL195" s="218" t="s">
        <v>473</v>
      </c>
      <c r="BM195" s="226" t="s">
        <v>1026</v>
      </c>
    </row>
    <row r="196" spans="1:65" s="252" customFormat="1" ht="31.5" x14ac:dyDescent="0.25">
      <c r="A196" s="133">
        <f t="shared" si="68"/>
        <v>114</v>
      </c>
      <c r="B196" s="139" t="s">
        <v>489</v>
      </c>
      <c r="C196" s="226" t="s">
        <v>134</v>
      </c>
      <c r="D196" s="243" t="s">
        <v>40</v>
      </c>
      <c r="E196" s="28">
        <f t="shared" si="67"/>
        <v>0.15000000000000002</v>
      </c>
      <c r="F196" s="21">
        <v>0.1</v>
      </c>
      <c r="G196" s="30">
        <f t="shared" si="66"/>
        <v>0.05</v>
      </c>
      <c r="H196" s="135"/>
      <c r="I196" s="235">
        <v>0.05</v>
      </c>
      <c r="J196" s="235"/>
      <c r="K196" s="235"/>
      <c r="L196" s="135"/>
      <c r="M196" s="131">
        <f>SUM(N196:P196)</f>
        <v>0</v>
      </c>
      <c r="N196" s="131"/>
      <c r="O196" s="131"/>
      <c r="P196" s="131"/>
      <c r="Q196" s="131"/>
      <c r="R196" s="131"/>
      <c r="S196" s="131"/>
      <c r="T196" s="131"/>
      <c r="U196" s="134"/>
      <c r="V196" s="135"/>
      <c r="W196" s="135"/>
      <c r="X196" s="135"/>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235" t="s">
        <v>135</v>
      </c>
      <c r="BI196" s="226" t="s">
        <v>134</v>
      </c>
      <c r="BJ196" s="226" t="s">
        <v>490</v>
      </c>
      <c r="BK196" s="66" t="s">
        <v>398</v>
      </c>
      <c r="BL196" s="218" t="s">
        <v>473</v>
      </c>
      <c r="BM196" s="226" t="s">
        <v>1026</v>
      </c>
    </row>
    <row r="197" spans="1:65" s="252" customFormat="1" ht="31.5" x14ac:dyDescent="0.25">
      <c r="A197" s="133">
        <f t="shared" si="68"/>
        <v>115</v>
      </c>
      <c r="B197" s="216" t="s">
        <v>491</v>
      </c>
      <c r="C197" s="223" t="s">
        <v>138</v>
      </c>
      <c r="D197" s="243" t="s">
        <v>40</v>
      </c>
      <c r="E197" s="28">
        <f t="shared" si="67"/>
        <v>0.498</v>
      </c>
      <c r="F197" s="21">
        <v>0.248</v>
      </c>
      <c r="G197" s="30">
        <f t="shared" si="66"/>
        <v>0.25</v>
      </c>
      <c r="H197" s="32">
        <v>0.17</v>
      </c>
      <c r="I197" s="235"/>
      <c r="J197" s="235"/>
      <c r="K197" s="235">
        <v>0.08</v>
      </c>
      <c r="L197" s="131"/>
      <c r="M197" s="131">
        <f>SUM(N197:P197)</f>
        <v>0</v>
      </c>
      <c r="N197" s="131"/>
      <c r="O197" s="131"/>
      <c r="P197" s="131"/>
      <c r="Q197" s="131"/>
      <c r="R197" s="131"/>
      <c r="S197" s="131"/>
      <c r="T197" s="131"/>
      <c r="U197" s="134"/>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c r="BH197" s="235" t="s">
        <v>492</v>
      </c>
      <c r="BI197" s="223" t="s">
        <v>138</v>
      </c>
      <c r="BJ197" s="243" t="s">
        <v>493</v>
      </c>
      <c r="BK197" s="220" t="s">
        <v>398</v>
      </c>
      <c r="BL197" s="218" t="s">
        <v>473</v>
      </c>
      <c r="BM197" s="226" t="s">
        <v>1026</v>
      </c>
    </row>
    <row r="198" spans="1:65" s="252" customFormat="1" ht="31.5" x14ac:dyDescent="0.25">
      <c r="A198" s="133">
        <f t="shared" si="68"/>
        <v>116</v>
      </c>
      <c r="B198" s="216" t="s">
        <v>494</v>
      </c>
      <c r="C198" s="223" t="s">
        <v>142</v>
      </c>
      <c r="D198" s="243" t="s">
        <v>40</v>
      </c>
      <c r="E198" s="28">
        <f t="shared" si="67"/>
        <v>0.03</v>
      </c>
      <c r="F198" s="21"/>
      <c r="G198" s="30">
        <f t="shared" si="66"/>
        <v>0.03</v>
      </c>
      <c r="H198" s="135"/>
      <c r="I198" s="131"/>
      <c r="J198" s="131"/>
      <c r="K198" s="131"/>
      <c r="L198" s="135"/>
      <c r="M198" s="131"/>
      <c r="N198" s="140"/>
      <c r="O198" s="140"/>
      <c r="P198" s="140"/>
      <c r="Q198" s="140"/>
      <c r="R198" s="140"/>
      <c r="S198" s="140"/>
      <c r="T198" s="140"/>
      <c r="U198" s="134">
        <f t="shared" ref="U198:U203" si="69">SUM(V198:X198)</f>
        <v>0.03</v>
      </c>
      <c r="V198" s="135">
        <v>0.03</v>
      </c>
      <c r="W198" s="135"/>
      <c r="X198" s="135"/>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235" t="s">
        <v>296</v>
      </c>
      <c r="BI198" s="223" t="s">
        <v>142</v>
      </c>
      <c r="BJ198" s="223" t="s">
        <v>495</v>
      </c>
      <c r="BK198" s="241" t="s">
        <v>120</v>
      </c>
      <c r="BL198" s="218" t="s">
        <v>473</v>
      </c>
      <c r="BM198" s="226" t="s">
        <v>1026</v>
      </c>
    </row>
    <row r="199" spans="1:65" s="252" customFormat="1" ht="30.6" customHeight="1" x14ac:dyDescent="0.25">
      <c r="A199" s="133">
        <f t="shared" si="68"/>
        <v>117</v>
      </c>
      <c r="B199" s="100" t="s">
        <v>496</v>
      </c>
      <c r="C199" s="36" t="s">
        <v>91</v>
      </c>
      <c r="D199" s="243" t="s">
        <v>40</v>
      </c>
      <c r="E199" s="28">
        <f t="shared" si="67"/>
        <v>0.04</v>
      </c>
      <c r="F199" s="21"/>
      <c r="G199" s="30">
        <f t="shared" si="66"/>
        <v>0.04</v>
      </c>
      <c r="H199" s="137"/>
      <c r="I199" s="131"/>
      <c r="J199" s="131"/>
      <c r="K199" s="131">
        <v>0.04</v>
      </c>
      <c r="L199" s="131"/>
      <c r="M199" s="131">
        <f t="shared" ref="M199:M205" si="70">SUM(N199:P199)</f>
        <v>0</v>
      </c>
      <c r="N199" s="131"/>
      <c r="O199" s="131"/>
      <c r="P199" s="131"/>
      <c r="Q199" s="134">
        <f>R199+S199+T199</f>
        <v>0</v>
      </c>
      <c r="R199" s="131"/>
      <c r="S199" s="131"/>
      <c r="T199" s="131"/>
      <c r="U199" s="134"/>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219" t="s">
        <v>276</v>
      </c>
      <c r="BI199" s="36" t="s">
        <v>91</v>
      </c>
      <c r="BJ199" s="36" t="s">
        <v>497</v>
      </c>
      <c r="BK199" s="220" t="s">
        <v>398</v>
      </c>
      <c r="BL199" s="218" t="s">
        <v>473</v>
      </c>
      <c r="BM199" s="226" t="s">
        <v>1026</v>
      </c>
    </row>
    <row r="200" spans="1:65" s="252" customFormat="1" ht="31.5" x14ac:dyDescent="0.25">
      <c r="A200" s="133">
        <f t="shared" si="68"/>
        <v>118</v>
      </c>
      <c r="B200" s="138" t="s">
        <v>498</v>
      </c>
      <c r="C200" s="36" t="s">
        <v>91</v>
      </c>
      <c r="D200" s="243" t="s">
        <v>40</v>
      </c>
      <c r="E200" s="28">
        <f t="shared" si="67"/>
        <v>0.08</v>
      </c>
      <c r="F200" s="28"/>
      <c r="G200" s="30">
        <f t="shared" si="66"/>
        <v>0.08</v>
      </c>
      <c r="H200" s="131"/>
      <c r="I200" s="131"/>
      <c r="J200" s="131"/>
      <c r="K200" s="131"/>
      <c r="L200" s="131">
        <v>7.0000000000000007E-2</v>
      </c>
      <c r="M200" s="131">
        <f t="shared" si="70"/>
        <v>0</v>
      </c>
      <c r="N200" s="131"/>
      <c r="O200" s="131"/>
      <c r="P200" s="131"/>
      <c r="Q200" s="134">
        <f>R200+S200+T200</f>
        <v>0</v>
      </c>
      <c r="R200" s="131"/>
      <c r="S200" s="131"/>
      <c r="T200" s="131"/>
      <c r="U200" s="134"/>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v>0.01</v>
      </c>
      <c r="AU200" s="131"/>
      <c r="AV200" s="131"/>
      <c r="AW200" s="131"/>
      <c r="AX200" s="131"/>
      <c r="AY200" s="131"/>
      <c r="AZ200" s="131"/>
      <c r="BA200" s="131"/>
      <c r="BB200" s="131"/>
      <c r="BC200" s="131"/>
      <c r="BD200" s="131"/>
      <c r="BE200" s="131"/>
      <c r="BF200" s="131"/>
      <c r="BG200" s="131"/>
      <c r="BH200" s="235" t="s">
        <v>499</v>
      </c>
      <c r="BI200" s="36" t="s">
        <v>91</v>
      </c>
      <c r="BJ200" s="36" t="s">
        <v>500</v>
      </c>
      <c r="BK200" s="241" t="s">
        <v>120</v>
      </c>
      <c r="BL200" s="218" t="s">
        <v>473</v>
      </c>
      <c r="BM200" s="226" t="s">
        <v>1026</v>
      </c>
    </row>
    <row r="201" spans="1:65" s="252" customFormat="1" x14ac:dyDescent="0.25">
      <c r="A201" s="133">
        <f t="shared" si="68"/>
        <v>119</v>
      </c>
      <c r="B201" s="100" t="s">
        <v>501</v>
      </c>
      <c r="C201" s="36" t="s">
        <v>91</v>
      </c>
      <c r="D201" s="243" t="s">
        <v>40</v>
      </c>
      <c r="E201" s="28">
        <f t="shared" si="67"/>
        <v>0.11</v>
      </c>
      <c r="F201" s="28">
        <v>0.08</v>
      </c>
      <c r="G201" s="30">
        <f t="shared" si="66"/>
        <v>0.03</v>
      </c>
      <c r="H201" s="135"/>
      <c r="I201" s="131"/>
      <c r="J201" s="131"/>
      <c r="K201" s="131"/>
      <c r="L201" s="135"/>
      <c r="M201" s="131">
        <f t="shared" si="70"/>
        <v>0</v>
      </c>
      <c r="N201" s="140"/>
      <c r="O201" s="140"/>
      <c r="P201" s="140"/>
      <c r="Q201" s="134"/>
      <c r="R201" s="140"/>
      <c r="S201" s="140"/>
      <c r="T201" s="140"/>
      <c r="U201" s="134">
        <f t="shared" si="69"/>
        <v>0.03</v>
      </c>
      <c r="V201" s="135">
        <v>0.03</v>
      </c>
      <c r="W201" s="135"/>
      <c r="X201" s="135"/>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235" t="s">
        <v>92</v>
      </c>
      <c r="BI201" s="36" t="s">
        <v>91</v>
      </c>
      <c r="BJ201" s="36" t="s">
        <v>502</v>
      </c>
      <c r="BK201" s="241" t="s">
        <v>120</v>
      </c>
      <c r="BL201" s="218" t="s">
        <v>473</v>
      </c>
      <c r="BM201" s="226" t="s">
        <v>206</v>
      </c>
    </row>
    <row r="202" spans="1:65" s="252" customFormat="1" ht="31.5" x14ac:dyDescent="0.25">
      <c r="A202" s="133">
        <f t="shared" si="68"/>
        <v>120</v>
      </c>
      <c r="B202" s="141" t="s">
        <v>503</v>
      </c>
      <c r="C202" s="36" t="s">
        <v>91</v>
      </c>
      <c r="D202" s="243" t="s">
        <v>40</v>
      </c>
      <c r="E202" s="28">
        <f t="shared" si="67"/>
        <v>0.16999999999999998</v>
      </c>
      <c r="F202" s="91">
        <v>7.0000000000000007E-2</v>
      </c>
      <c r="G202" s="30">
        <f t="shared" si="66"/>
        <v>9.9999999999999992E-2</v>
      </c>
      <c r="H202" s="131">
        <v>0.09</v>
      </c>
      <c r="I202" s="131"/>
      <c r="J202" s="131"/>
      <c r="K202" s="131"/>
      <c r="L202" s="135"/>
      <c r="M202" s="131">
        <f t="shared" si="70"/>
        <v>0</v>
      </c>
      <c r="N202" s="140"/>
      <c r="O202" s="140"/>
      <c r="P202" s="140"/>
      <c r="Q202" s="134">
        <f>R202+S202+T202</f>
        <v>0</v>
      </c>
      <c r="R202" s="140"/>
      <c r="S202" s="140"/>
      <c r="T202" s="140"/>
      <c r="U202" s="134"/>
      <c r="V202" s="135"/>
      <c r="W202" s="135"/>
      <c r="X202" s="135"/>
      <c r="Y202" s="140"/>
      <c r="Z202" s="131"/>
      <c r="AA202" s="131"/>
      <c r="AB202" s="131"/>
      <c r="AC202" s="131"/>
      <c r="AD202" s="131"/>
      <c r="AE202" s="131"/>
      <c r="AF202" s="131"/>
      <c r="AG202" s="131">
        <v>0.01</v>
      </c>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235" t="s">
        <v>504</v>
      </c>
      <c r="BI202" s="36" t="s">
        <v>91</v>
      </c>
      <c r="BJ202" s="36" t="s">
        <v>505</v>
      </c>
      <c r="BK202" s="220" t="s">
        <v>120</v>
      </c>
      <c r="BL202" s="218" t="s">
        <v>473</v>
      </c>
      <c r="BM202" s="226" t="s">
        <v>1026</v>
      </c>
    </row>
    <row r="203" spans="1:65" s="252" customFormat="1" ht="31.5" x14ac:dyDescent="0.25">
      <c r="A203" s="133">
        <f t="shared" si="68"/>
        <v>121</v>
      </c>
      <c r="B203" s="237" t="s">
        <v>506</v>
      </c>
      <c r="C203" s="36" t="s">
        <v>91</v>
      </c>
      <c r="D203" s="243" t="s">
        <v>40</v>
      </c>
      <c r="E203" s="28">
        <f t="shared" si="67"/>
        <v>1.1499999999999999</v>
      </c>
      <c r="F203" s="20"/>
      <c r="G203" s="30">
        <f t="shared" si="66"/>
        <v>1.1499999999999999</v>
      </c>
      <c r="H203" s="131"/>
      <c r="I203" s="131"/>
      <c r="J203" s="131"/>
      <c r="K203" s="131"/>
      <c r="L203" s="131"/>
      <c r="M203" s="131">
        <f t="shared" si="70"/>
        <v>0</v>
      </c>
      <c r="N203" s="131"/>
      <c r="O203" s="131"/>
      <c r="P203" s="131"/>
      <c r="Q203" s="134">
        <f>R203+S203+T203</f>
        <v>0</v>
      </c>
      <c r="R203" s="131"/>
      <c r="S203" s="131"/>
      <c r="T203" s="131"/>
      <c r="U203" s="134">
        <f t="shared" si="69"/>
        <v>1.1499999999999999</v>
      </c>
      <c r="V203" s="131">
        <v>1.1499999999999999</v>
      </c>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235" t="s">
        <v>430</v>
      </c>
      <c r="BI203" s="36" t="s">
        <v>91</v>
      </c>
      <c r="BJ203" s="36" t="s">
        <v>507</v>
      </c>
      <c r="BK203" s="241" t="s">
        <v>120</v>
      </c>
      <c r="BL203" s="218" t="s">
        <v>508</v>
      </c>
      <c r="BM203" s="226" t="s">
        <v>1026</v>
      </c>
    </row>
    <row r="204" spans="1:65" s="252" customFormat="1" ht="31.5" x14ac:dyDescent="0.25">
      <c r="A204" s="133">
        <f t="shared" si="68"/>
        <v>122</v>
      </c>
      <c r="B204" s="216" t="s">
        <v>509</v>
      </c>
      <c r="C204" s="243" t="s">
        <v>150</v>
      </c>
      <c r="D204" s="243" t="s">
        <v>40</v>
      </c>
      <c r="E204" s="28">
        <f t="shared" si="67"/>
        <v>0.21</v>
      </c>
      <c r="F204" s="21"/>
      <c r="G204" s="30">
        <f t="shared" si="66"/>
        <v>0.21</v>
      </c>
      <c r="H204" s="29">
        <v>0.21</v>
      </c>
      <c r="I204" s="131"/>
      <c r="J204" s="131"/>
      <c r="K204" s="131"/>
      <c r="L204" s="135"/>
      <c r="M204" s="131">
        <f t="shared" si="70"/>
        <v>0</v>
      </c>
      <c r="N204" s="140"/>
      <c r="O204" s="140"/>
      <c r="P204" s="140"/>
      <c r="Q204" s="140"/>
      <c r="R204" s="140"/>
      <c r="S204" s="140"/>
      <c r="T204" s="140"/>
      <c r="U204" s="134"/>
      <c r="V204" s="135"/>
      <c r="W204" s="135"/>
      <c r="X204" s="135"/>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235" t="s">
        <v>510</v>
      </c>
      <c r="BI204" s="243" t="s">
        <v>150</v>
      </c>
      <c r="BJ204" s="226" t="s">
        <v>511</v>
      </c>
      <c r="BK204" s="239" t="s">
        <v>120</v>
      </c>
      <c r="BL204" s="218" t="s">
        <v>473</v>
      </c>
      <c r="BM204" s="226" t="s">
        <v>1026</v>
      </c>
    </row>
    <row r="205" spans="1:65" s="334" customFormat="1" ht="31.5" x14ac:dyDescent="0.25">
      <c r="A205" s="391">
        <f t="shared" si="68"/>
        <v>123</v>
      </c>
      <c r="B205" s="323" t="s">
        <v>512</v>
      </c>
      <c r="C205" s="386" t="s">
        <v>154</v>
      </c>
      <c r="D205" s="389" t="s">
        <v>40</v>
      </c>
      <c r="E205" s="267">
        <f t="shared" si="67"/>
        <v>3.4999999999999996</v>
      </c>
      <c r="F205" s="392"/>
      <c r="G205" s="311">
        <f t="shared" si="66"/>
        <v>3.4999999999999996</v>
      </c>
      <c r="H205" s="393">
        <v>0.35</v>
      </c>
      <c r="I205" s="267"/>
      <c r="J205" s="394"/>
      <c r="K205" s="267">
        <v>2.5099999999999998</v>
      </c>
      <c r="L205" s="395"/>
      <c r="M205" s="394">
        <f t="shared" si="70"/>
        <v>0</v>
      </c>
      <c r="N205" s="394"/>
      <c r="O205" s="394"/>
      <c r="P205" s="394"/>
      <c r="Q205" s="394"/>
      <c r="R205" s="394"/>
      <c r="S205" s="394"/>
      <c r="T205" s="394"/>
      <c r="U205" s="396"/>
      <c r="V205" s="395"/>
      <c r="W205" s="395"/>
      <c r="X205" s="395"/>
      <c r="Y205" s="394"/>
      <c r="Z205" s="394"/>
      <c r="AA205" s="394"/>
      <c r="AB205" s="394"/>
      <c r="AC205" s="394"/>
      <c r="AD205" s="394"/>
      <c r="AE205" s="394"/>
      <c r="AF205" s="394">
        <v>0.05</v>
      </c>
      <c r="AG205" s="394"/>
      <c r="AH205" s="394"/>
      <c r="AI205" s="394">
        <v>0.01</v>
      </c>
      <c r="AJ205" s="394"/>
      <c r="AK205" s="394">
        <v>0.02</v>
      </c>
      <c r="AL205" s="397">
        <v>0.02</v>
      </c>
      <c r="AM205" s="267">
        <v>0.46</v>
      </c>
      <c r="AN205" s="394"/>
      <c r="AO205" s="394"/>
      <c r="AP205" s="394"/>
      <c r="AQ205" s="394"/>
      <c r="AR205" s="394"/>
      <c r="AS205" s="394"/>
      <c r="AT205" s="394"/>
      <c r="AU205" s="394"/>
      <c r="AV205" s="394">
        <v>0.08</v>
      </c>
      <c r="AW205" s="394"/>
      <c r="AX205" s="394"/>
      <c r="AY205" s="394"/>
      <c r="AZ205" s="394"/>
      <c r="BA205" s="394"/>
      <c r="BB205" s="394"/>
      <c r="BC205" s="394"/>
      <c r="BD205" s="394"/>
      <c r="BE205" s="394"/>
      <c r="BF205" s="394"/>
      <c r="BG205" s="394"/>
      <c r="BH205" s="388" t="s">
        <v>513</v>
      </c>
      <c r="BI205" s="386" t="s">
        <v>154</v>
      </c>
      <c r="BJ205" s="386" t="s">
        <v>514</v>
      </c>
      <c r="BK205" s="387" t="s">
        <v>120</v>
      </c>
      <c r="BL205" s="390" t="s">
        <v>508</v>
      </c>
      <c r="BM205" s="386" t="s">
        <v>1026</v>
      </c>
    </row>
    <row r="206" spans="1:65" s="252" customFormat="1" ht="31.5" x14ac:dyDescent="0.25">
      <c r="A206" s="133">
        <f t="shared" si="68"/>
        <v>124</v>
      </c>
      <c r="B206" s="100" t="s">
        <v>515</v>
      </c>
      <c r="C206" s="226" t="s">
        <v>154</v>
      </c>
      <c r="D206" s="243" t="s">
        <v>40</v>
      </c>
      <c r="E206" s="28">
        <f t="shared" si="67"/>
        <v>0.05</v>
      </c>
      <c r="F206" s="21"/>
      <c r="G206" s="30">
        <f t="shared" si="66"/>
        <v>0.05</v>
      </c>
      <c r="H206" s="136"/>
      <c r="I206" s="22"/>
      <c r="J206" s="22"/>
      <c r="K206" s="22"/>
      <c r="L206" s="136">
        <v>0.05</v>
      </c>
      <c r="M206" s="22"/>
      <c r="N206" s="22"/>
      <c r="O206" s="22"/>
      <c r="P206" s="22"/>
      <c r="Q206" s="22"/>
      <c r="R206" s="22"/>
      <c r="S206" s="22"/>
      <c r="T206" s="22"/>
      <c r="U206" s="134"/>
      <c r="V206" s="136"/>
      <c r="W206" s="136"/>
      <c r="X206" s="136"/>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35" t="s">
        <v>513</v>
      </c>
      <c r="BI206" s="226" t="s">
        <v>154</v>
      </c>
      <c r="BJ206" s="226" t="s">
        <v>516</v>
      </c>
      <c r="BK206" s="241" t="s">
        <v>120</v>
      </c>
      <c r="BL206" s="218" t="s">
        <v>473</v>
      </c>
      <c r="BM206" s="226" t="s">
        <v>1026</v>
      </c>
    </row>
    <row r="207" spans="1:65" s="252" customFormat="1" ht="31.5" x14ac:dyDescent="0.25">
      <c r="A207" s="133">
        <f t="shared" si="68"/>
        <v>125</v>
      </c>
      <c r="B207" s="100" t="s">
        <v>517</v>
      </c>
      <c r="C207" s="226" t="s">
        <v>154</v>
      </c>
      <c r="D207" s="243" t="s">
        <v>40</v>
      </c>
      <c r="E207" s="28">
        <f t="shared" si="67"/>
        <v>0.05</v>
      </c>
      <c r="F207" s="28"/>
      <c r="G207" s="30">
        <f t="shared" si="66"/>
        <v>0.05</v>
      </c>
      <c r="H207" s="136"/>
      <c r="I207" s="22"/>
      <c r="J207" s="22"/>
      <c r="K207" s="22"/>
      <c r="L207" s="136"/>
      <c r="M207" s="22"/>
      <c r="N207" s="22"/>
      <c r="O207" s="22"/>
      <c r="P207" s="22"/>
      <c r="Q207" s="22"/>
      <c r="R207" s="22"/>
      <c r="S207" s="22"/>
      <c r="T207" s="22"/>
      <c r="U207" s="134"/>
      <c r="V207" s="136"/>
      <c r="W207" s="136"/>
      <c r="X207" s="136"/>
      <c r="Y207" s="22"/>
      <c r="Z207" s="22"/>
      <c r="AA207" s="22"/>
      <c r="AB207" s="22"/>
      <c r="AC207" s="22"/>
      <c r="AD207" s="22"/>
      <c r="AE207" s="22"/>
      <c r="AF207" s="22"/>
      <c r="AG207" s="22"/>
      <c r="AH207" s="22"/>
      <c r="AI207" s="22"/>
      <c r="AJ207" s="22"/>
      <c r="AK207" s="22">
        <v>0.05</v>
      </c>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35" t="s">
        <v>518</v>
      </c>
      <c r="BI207" s="226" t="s">
        <v>154</v>
      </c>
      <c r="BJ207" s="226" t="s">
        <v>519</v>
      </c>
      <c r="BK207" s="241" t="s">
        <v>120</v>
      </c>
      <c r="BL207" s="218" t="s">
        <v>473</v>
      </c>
      <c r="BM207" s="226" t="s">
        <v>1026</v>
      </c>
    </row>
    <row r="208" spans="1:65" s="252" customFormat="1" ht="31.5" x14ac:dyDescent="0.25">
      <c r="A208" s="133">
        <f t="shared" si="68"/>
        <v>126</v>
      </c>
      <c r="B208" s="100" t="s">
        <v>520</v>
      </c>
      <c r="C208" s="226" t="s">
        <v>154</v>
      </c>
      <c r="D208" s="243" t="s">
        <v>40</v>
      </c>
      <c r="E208" s="28">
        <f t="shared" si="67"/>
        <v>0.33</v>
      </c>
      <c r="F208" s="27">
        <v>0.27</v>
      </c>
      <c r="G208" s="30">
        <f t="shared" si="66"/>
        <v>0.06</v>
      </c>
      <c r="H208" s="136"/>
      <c r="I208" s="22"/>
      <c r="J208" s="22"/>
      <c r="K208" s="22"/>
      <c r="L208" s="136">
        <v>0.06</v>
      </c>
      <c r="M208" s="22">
        <f t="shared" ref="M208:M213" si="71">SUM(N208:P208)</f>
        <v>0</v>
      </c>
      <c r="N208" s="22"/>
      <c r="O208" s="22"/>
      <c r="P208" s="22"/>
      <c r="Q208" s="22"/>
      <c r="R208" s="22"/>
      <c r="S208" s="22"/>
      <c r="T208" s="22"/>
      <c r="U208" s="134"/>
      <c r="V208" s="136"/>
      <c r="W208" s="136"/>
      <c r="X208" s="136"/>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35" t="s">
        <v>521</v>
      </c>
      <c r="BI208" s="226" t="s">
        <v>154</v>
      </c>
      <c r="BJ208" s="226" t="s">
        <v>522</v>
      </c>
      <c r="BK208" s="241" t="s">
        <v>120</v>
      </c>
      <c r="BL208" s="218" t="s">
        <v>473</v>
      </c>
      <c r="BM208" s="226" t="s">
        <v>1026</v>
      </c>
    </row>
    <row r="209" spans="1:240" s="252" customFormat="1" ht="34.5" customHeight="1" x14ac:dyDescent="0.25">
      <c r="A209" s="133">
        <f>A208+1</f>
        <v>127</v>
      </c>
      <c r="B209" s="141" t="s">
        <v>523</v>
      </c>
      <c r="C209" s="226" t="s">
        <v>154</v>
      </c>
      <c r="D209" s="243" t="s">
        <v>40</v>
      </c>
      <c r="E209" s="28">
        <f t="shared" si="67"/>
        <v>0.3</v>
      </c>
      <c r="F209" s="142">
        <v>0.2</v>
      </c>
      <c r="G209" s="30">
        <f t="shared" si="66"/>
        <v>9.9999999999999992E-2</v>
      </c>
      <c r="H209" s="22"/>
      <c r="I209" s="22"/>
      <c r="J209" s="22"/>
      <c r="K209" s="22"/>
      <c r="L209" s="136">
        <v>0.09</v>
      </c>
      <c r="M209" s="22">
        <f t="shared" si="71"/>
        <v>0</v>
      </c>
      <c r="N209" s="22"/>
      <c r="O209" s="22"/>
      <c r="P209" s="22"/>
      <c r="Q209" s="22"/>
      <c r="R209" s="22"/>
      <c r="S209" s="22"/>
      <c r="T209" s="22"/>
      <c r="U209" s="134"/>
      <c r="V209" s="136"/>
      <c r="W209" s="136"/>
      <c r="X209" s="136"/>
      <c r="Y209" s="22"/>
      <c r="Z209" s="22"/>
      <c r="AA209" s="22"/>
      <c r="AB209" s="22"/>
      <c r="AC209" s="22"/>
      <c r="AD209" s="22"/>
      <c r="AE209" s="22"/>
      <c r="AF209" s="22">
        <v>0.01</v>
      </c>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35" t="s">
        <v>279</v>
      </c>
      <c r="BI209" s="226" t="s">
        <v>154</v>
      </c>
      <c r="BJ209" s="226" t="s">
        <v>524</v>
      </c>
      <c r="BK209" s="241" t="s">
        <v>120</v>
      </c>
      <c r="BL209" s="218" t="s">
        <v>473</v>
      </c>
      <c r="BM209" s="226" t="s">
        <v>1026</v>
      </c>
    </row>
    <row r="210" spans="1:240" s="252" customFormat="1" ht="34.5" customHeight="1" x14ac:dyDescent="0.25">
      <c r="A210" s="133">
        <f>A209+1</f>
        <v>128</v>
      </c>
      <c r="B210" s="216" t="s">
        <v>525</v>
      </c>
      <c r="C210" s="129" t="s">
        <v>99</v>
      </c>
      <c r="D210" s="243" t="s">
        <v>40</v>
      </c>
      <c r="E210" s="28">
        <f t="shared" si="67"/>
        <v>0.4</v>
      </c>
      <c r="F210" s="27">
        <v>0.15</v>
      </c>
      <c r="G210" s="30">
        <f>SUM(H210:M210,Q210,U210,Y210:BG210)</f>
        <v>0.25</v>
      </c>
      <c r="H210" s="130"/>
      <c r="I210" s="131"/>
      <c r="J210" s="131"/>
      <c r="K210" s="131"/>
      <c r="L210" s="131"/>
      <c r="M210" s="131">
        <f t="shared" si="71"/>
        <v>0</v>
      </c>
      <c r="N210" s="131"/>
      <c r="O210" s="131"/>
      <c r="P210" s="131"/>
      <c r="Q210" s="131"/>
      <c r="R210" s="131"/>
      <c r="S210" s="131"/>
      <c r="T210" s="131"/>
      <c r="U210" s="33">
        <f t="shared" ref="U210:U216" si="72">SUM(V210:X210)</f>
        <v>0.25</v>
      </c>
      <c r="V210" s="235">
        <v>0.23</v>
      </c>
      <c r="W210" s="235">
        <v>0.02</v>
      </c>
      <c r="X210" s="235"/>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235" t="s">
        <v>411</v>
      </c>
      <c r="BI210" s="129" t="s">
        <v>99</v>
      </c>
      <c r="BJ210" s="132" t="s">
        <v>526</v>
      </c>
      <c r="BK210" s="218" t="s">
        <v>375</v>
      </c>
      <c r="BL210" s="218" t="s">
        <v>473</v>
      </c>
      <c r="BM210" s="226" t="s">
        <v>1026</v>
      </c>
      <c r="BN210" s="258"/>
      <c r="BO210" s="258"/>
      <c r="BP210" s="258"/>
      <c r="BQ210" s="258"/>
      <c r="BR210" s="258"/>
      <c r="BS210" s="258"/>
      <c r="BT210" s="258"/>
      <c r="BU210" s="258"/>
      <c r="BV210" s="258"/>
      <c r="BW210" s="258"/>
      <c r="BX210" s="258"/>
      <c r="BY210" s="258"/>
      <c r="BZ210" s="258"/>
      <c r="CA210" s="258"/>
      <c r="CB210" s="258"/>
      <c r="CC210" s="258"/>
      <c r="CD210" s="258"/>
      <c r="CE210" s="258"/>
      <c r="CF210" s="258"/>
      <c r="CG210" s="258"/>
      <c r="CH210" s="258"/>
      <c r="CI210" s="258"/>
      <c r="CJ210" s="258"/>
      <c r="CK210" s="258"/>
      <c r="CL210" s="258"/>
      <c r="CM210" s="258"/>
      <c r="CN210" s="258"/>
      <c r="CO210" s="258"/>
      <c r="CP210" s="258"/>
      <c r="CQ210" s="258"/>
      <c r="CR210" s="258"/>
      <c r="CS210" s="258"/>
      <c r="CT210" s="258"/>
      <c r="CU210" s="258"/>
      <c r="CV210" s="258"/>
      <c r="CW210" s="258"/>
      <c r="CX210" s="258"/>
      <c r="CY210" s="258"/>
      <c r="CZ210" s="258"/>
      <c r="DA210" s="258"/>
      <c r="DB210" s="258"/>
      <c r="DC210" s="258"/>
      <c r="DD210" s="258"/>
      <c r="DE210" s="258"/>
      <c r="DF210" s="258"/>
      <c r="DG210" s="258"/>
      <c r="DH210" s="258"/>
      <c r="DI210" s="258"/>
      <c r="DJ210" s="258"/>
      <c r="DK210" s="258"/>
      <c r="DL210" s="258"/>
      <c r="DM210" s="258"/>
      <c r="DN210" s="258"/>
      <c r="DO210" s="258"/>
      <c r="DP210" s="258"/>
      <c r="DQ210" s="258"/>
      <c r="DR210" s="258"/>
      <c r="DS210" s="258"/>
      <c r="DT210" s="258"/>
      <c r="DU210" s="258"/>
      <c r="DV210" s="258"/>
      <c r="DW210" s="258"/>
      <c r="DX210" s="258"/>
      <c r="DY210" s="258"/>
      <c r="DZ210" s="258"/>
      <c r="EA210" s="258"/>
      <c r="EB210" s="258"/>
      <c r="EC210" s="258"/>
      <c r="ED210" s="258"/>
      <c r="EE210" s="258"/>
      <c r="EF210" s="258"/>
      <c r="EG210" s="258"/>
      <c r="EH210" s="258"/>
      <c r="EI210" s="258"/>
      <c r="EJ210" s="258"/>
      <c r="EK210" s="258"/>
      <c r="EL210" s="258"/>
      <c r="EM210" s="258"/>
      <c r="EN210" s="258"/>
      <c r="EO210" s="258"/>
      <c r="EP210" s="258"/>
      <c r="EQ210" s="258"/>
      <c r="ER210" s="258"/>
      <c r="ES210" s="258"/>
      <c r="ET210" s="258"/>
      <c r="EU210" s="258"/>
      <c r="EV210" s="258"/>
      <c r="EW210" s="258"/>
      <c r="EX210" s="258"/>
      <c r="EY210" s="258"/>
      <c r="EZ210" s="258"/>
      <c r="FA210" s="258"/>
      <c r="FB210" s="258"/>
      <c r="FC210" s="258"/>
      <c r="FD210" s="258"/>
      <c r="FE210" s="258"/>
      <c r="FF210" s="258"/>
      <c r="FG210" s="258"/>
      <c r="FH210" s="258"/>
      <c r="FI210" s="258"/>
      <c r="FJ210" s="258"/>
      <c r="FK210" s="258"/>
      <c r="FL210" s="258"/>
      <c r="FM210" s="258"/>
      <c r="FN210" s="258"/>
      <c r="FO210" s="258"/>
      <c r="FP210" s="258"/>
      <c r="FQ210" s="258"/>
      <c r="FR210" s="258"/>
      <c r="FS210" s="258"/>
      <c r="FT210" s="258"/>
      <c r="FU210" s="258"/>
      <c r="FV210" s="258"/>
      <c r="FW210" s="258"/>
      <c r="FX210" s="258"/>
      <c r="FY210" s="258"/>
      <c r="FZ210" s="258"/>
      <c r="GA210" s="258"/>
      <c r="GB210" s="258"/>
      <c r="GC210" s="258"/>
      <c r="GD210" s="258"/>
      <c r="GE210" s="258"/>
      <c r="GF210" s="258"/>
      <c r="GG210" s="258"/>
      <c r="GH210" s="258"/>
      <c r="GI210" s="258"/>
      <c r="GJ210" s="258"/>
      <c r="GK210" s="258"/>
      <c r="GL210" s="258"/>
      <c r="GM210" s="258"/>
      <c r="GN210" s="258"/>
      <c r="GO210" s="258"/>
      <c r="GP210" s="258"/>
      <c r="GQ210" s="258"/>
      <c r="GR210" s="258"/>
      <c r="GS210" s="258"/>
      <c r="GT210" s="258"/>
      <c r="GU210" s="258"/>
      <c r="GV210" s="258"/>
      <c r="GW210" s="258"/>
      <c r="GX210" s="258"/>
      <c r="GY210" s="258"/>
      <c r="GZ210" s="258"/>
      <c r="HA210" s="258"/>
      <c r="HB210" s="258"/>
      <c r="HC210" s="258"/>
      <c r="HD210" s="258"/>
      <c r="HE210" s="258"/>
      <c r="HF210" s="258"/>
      <c r="HG210" s="258"/>
      <c r="HH210" s="258"/>
      <c r="HI210" s="258"/>
      <c r="HJ210" s="258"/>
      <c r="HK210" s="258"/>
      <c r="HL210" s="258"/>
      <c r="HM210" s="258"/>
      <c r="HN210" s="258"/>
      <c r="HO210" s="258"/>
      <c r="HP210" s="258"/>
      <c r="HQ210" s="258"/>
      <c r="HR210" s="258"/>
      <c r="HS210" s="258"/>
      <c r="HT210" s="258"/>
      <c r="HU210" s="258"/>
      <c r="HV210" s="258"/>
      <c r="HW210" s="258"/>
      <c r="HX210" s="258"/>
      <c r="HY210" s="258"/>
      <c r="HZ210" s="258"/>
      <c r="IA210" s="258"/>
      <c r="IB210" s="258"/>
      <c r="IC210" s="258"/>
      <c r="ID210" s="258"/>
      <c r="IE210" s="258"/>
      <c r="IF210" s="258"/>
    </row>
    <row r="211" spans="1:240" s="252" customFormat="1" ht="34.5" customHeight="1" x14ac:dyDescent="0.25">
      <c r="A211" s="133">
        <f t="shared" si="68"/>
        <v>129</v>
      </c>
      <c r="B211" s="216" t="s">
        <v>527</v>
      </c>
      <c r="C211" s="129" t="s">
        <v>99</v>
      </c>
      <c r="D211" s="243" t="s">
        <v>40</v>
      </c>
      <c r="E211" s="28">
        <f t="shared" si="67"/>
        <v>0.38</v>
      </c>
      <c r="F211" s="27">
        <v>0.23</v>
      </c>
      <c r="G211" s="30">
        <f t="shared" si="66"/>
        <v>0.15</v>
      </c>
      <c r="H211" s="130"/>
      <c r="I211" s="131"/>
      <c r="J211" s="131"/>
      <c r="K211" s="131"/>
      <c r="L211" s="131"/>
      <c r="M211" s="131">
        <f t="shared" si="71"/>
        <v>0</v>
      </c>
      <c r="N211" s="131"/>
      <c r="O211" s="131"/>
      <c r="P211" s="131"/>
      <c r="Q211" s="131"/>
      <c r="R211" s="131"/>
      <c r="S211" s="131"/>
      <c r="T211" s="131"/>
      <c r="U211" s="33"/>
      <c r="V211" s="235"/>
      <c r="W211" s="235"/>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235">
        <v>0.15</v>
      </c>
      <c r="BH211" s="235" t="s">
        <v>411</v>
      </c>
      <c r="BI211" s="129" t="s">
        <v>99</v>
      </c>
      <c r="BJ211" s="132" t="s">
        <v>528</v>
      </c>
      <c r="BK211" s="218" t="s">
        <v>120</v>
      </c>
      <c r="BL211" s="218" t="s">
        <v>473</v>
      </c>
      <c r="BM211" s="226" t="s">
        <v>206</v>
      </c>
      <c r="BN211" s="258"/>
      <c r="BO211" s="258"/>
      <c r="BP211" s="258"/>
      <c r="BQ211" s="258"/>
      <c r="BR211" s="258"/>
      <c r="BS211" s="258"/>
      <c r="BT211" s="258"/>
      <c r="BU211" s="258"/>
      <c r="BV211" s="258"/>
      <c r="BW211" s="258"/>
      <c r="BX211" s="258"/>
      <c r="BY211" s="258"/>
      <c r="BZ211" s="258"/>
      <c r="CA211" s="258"/>
      <c r="CB211" s="258"/>
      <c r="CC211" s="258"/>
      <c r="CD211" s="258"/>
      <c r="CE211" s="258"/>
      <c r="CF211" s="258"/>
      <c r="CG211" s="258"/>
      <c r="CH211" s="258"/>
      <c r="CI211" s="258"/>
      <c r="CJ211" s="258"/>
      <c r="CK211" s="258"/>
      <c r="CL211" s="258"/>
      <c r="CM211" s="258"/>
      <c r="CN211" s="258"/>
      <c r="CO211" s="258"/>
      <c r="CP211" s="258"/>
      <c r="CQ211" s="258"/>
      <c r="CR211" s="258"/>
      <c r="CS211" s="258"/>
      <c r="CT211" s="258"/>
      <c r="CU211" s="258"/>
      <c r="CV211" s="258"/>
      <c r="CW211" s="258"/>
      <c r="CX211" s="258"/>
      <c r="CY211" s="258"/>
      <c r="CZ211" s="258"/>
      <c r="DA211" s="258"/>
      <c r="DB211" s="258"/>
      <c r="DC211" s="258"/>
      <c r="DD211" s="258"/>
      <c r="DE211" s="258"/>
      <c r="DF211" s="258"/>
      <c r="DG211" s="258"/>
      <c r="DH211" s="258"/>
      <c r="DI211" s="258"/>
      <c r="DJ211" s="258"/>
      <c r="DK211" s="258"/>
      <c r="DL211" s="258"/>
      <c r="DM211" s="258"/>
      <c r="DN211" s="258"/>
      <c r="DO211" s="258"/>
      <c r="DP211" s="258"/>
      <c r="DQ211" s="258"/>
      <c r="DR211" s="258"/>
      <c r="DS211" s="258"/>
      <c r="DT211" s="258"/>
      <c r="DU211" s="258"/>
      <c r="DV211" s="258"/>
      <c r="DW211" s="258"/>
      <c r="DX211" s="258"/>
      <c r="DY211" s="258"/>
      <c r="DZ211" s="258"/>
      <c r="EA211" s="258"/>
      <c r="EB211" s="258"/>
      <c r="EC211" s="258"/>
      <c r="ED211" s="258"/>
      <c r="EE211" s="258"/>
      <c r="EF211" s="258"/>
      <c r="EG211" s="258"/>
      <c r="EH211" s="258"/>
      <c r="EI211" s="258"/>
      <c r="EJ211" s="258"/>
      <c r="EK211" s="258"/>
      <c r="EL211" s="258"/>
      <c r="EM211" s="258"/>
      <c r="EN211" s="258"/>
      <c r="EO211" s="258"/>
      <c r="EP211" s="258"/>
      <c r="EQ211" s="258"/>
      <c r="ER211" s="258"/>
      <c r="ES211" s="258"/>
      <c r="ET211" s="258"/>
      <c r="EU211" s="258"/>
      <c r="EV211" s="258"/>
      <c r="EW211" s="258"/>
      <c r="EX211" s="258"/>
      <c r="EY211" s="258"/>
      <c r="EZ211" s="258"/>
      <c r="FA211" s="258"/>
      <c r="FB211" s="258"/>
      <c r="FC211" s="258"/>
      <c r="FD211" s="258"/>
      <c r="FE211" s="258"/>
      <c r="FF211" s="258"/>
      <c r="FG211" s="258"/>
      <c r="FH211" s="258"/>
      <c r="FI211" s="258"/>
      <c r="FJ211" s="258"/>
      <c r="FK211" s="258"/>
      <c r="FL211" s="258"/>
      <c r="FM211" s="258"/>
      <c r="FN211" s="258"/>
      <c r="FO211" s="258"/>
      <c r="FP211" s="258"/>
      <c r="FQ211" s="258"/>
      <c r="FR211" s="258"/>
      <c r="FS211" s="258"/>
      <c r="FT211" s="258"/>
      <c r="FU211" s="258"/>
      <c r="FV211" s="258"/>
      <c r="FW211" s="258"/>
      <c r="FX211" s="258"/>
      <c r="FY211" s="258"/>
      <c r="FZ211" s="258"/>
      <c r="GA211" s="258"/>
      <c r="GB211" s="258"/>
      <c r="GC211" s="258"/>
      <c r="GD211" s="258"/>
      <c r="GE211" s="258"/>
      <c r="GF211" s="258"/>
      <c r="GG211" s="258"/>
      <c r="GH211" s="258"/>
      <c r="GI211" s="258"/>
      <c r="GJ211" s="258"/>
      <c r="GK211" s="258"/>
      <c r="GL211" s="258"/>
      <c r="GM211" s="258"/>
      <c r="GN211" s="258"/>
      <c r="GO211" s="258"/>
      <c r="GP211" s="258"/>
      <c r="GQ211" s="258"/>
      <c r="GR211" s="258"/>
      <c r="GS211" s="258"/>
      <c r="GT211" s="258"/>
      <c r="GU211" s="258"/>
      <c r="GV211" s="258"/>
      <c r="GW211" s="258"/>
      <c r="GX211" s="258"/>
      <c r="GY211" s="258"/>
      <c r="GZ211" s="258"/>
      <c r="HA211" s="258"/>
      <c r="HB211" s="258"/>
      <c r="HC211" s="258"/>
      <c r="HD211" s="258"/>
      <c r="HE211" s="258"/>
      <c r="HF211" s="258"/>
      <c r="HG211" s="258"/>
      <c r="HH211" s="258"/>
      <c r="HI211" s="258"/>
      <c r="HJ211" s="258"/>
      <c r="HK211" s="258"/>
      <c r="HL211" s="258"/>
      <c r="HM211" s="258"/>
      <c r="HN211" s="258"/>
      <c r="HO211" s="258"/>
      <c r="HP211" s="258"/>
      <c r="HQ211" s="258"/>
      <c r="HR211" s="258"/>
      <c r="HS211" s="258"/>
      <c r="HT211" s="258"/>
      <c r="HU211" s="258"/>
      <c r="HV211" s="258"/>
      <c r="HW211" s="258"/>
      <c r="HX211" s="258"/>
      <c r="HY211" s="258"/>
      <c r="HZ211" s="258"/>
      <c r="IA211" s="258"/>
      <c r="IB211" s="258"/>
      <c r="IC211" s="258"/>
      <c r="ID211" s="258"/>
      <c r="IE211" s="258"/>
      <c r="IF211" s="258"/>
    </row>
    <row r="212" spans="1:240" s="252" customFormat="1" ht="34.5" customHeight="1" x14ac:dyDescent="0.25">
      <c r="A212" s="133">
        <f t="shared" si="68"/>
        <v>130</v>
      </c>
      <c r="B212" s="221" t="s">
        <v>529</v>
      </c>
      <c r="C212" s="129" t="s">
        <v>99</v>
      </c>
      <c r="D212" s="243" t="s">
        <v>40</v>
      </c>
      <c r="E212" s="28">
        <f t="shared" si="67"/>
        <v>0.95000000000000007</v>
      </c>
      <c r="F212" s="27">
        <v>0.8</v>
      </c>
      <c r="G212" s="30">
        <f t="shared" si="66"/>
        <v>0.15</v>
      </c>
      <c r="H212" s="130"/>
      <c r="I212" s="131"/>
      <c r="J212" s="131"/>
      <c r="K212" s="131"/>
      <c r="L212" s="131"/>
      <c r="M212" s="131">
        <f t="shared" si="71"/>
        <v>0</v>
      </c>
      <c r="N212" s="131"/>
      <c r="O212" s="131"/>
      <c r="P212" s="131"/>
      <c r="Q212" s="131"/>
      <c r="R212" s="131"/>
      <c r="S212" s="131"/>
      <c r="T212" s="131"/>
      <c r="U212" s="33"/>
      <c r="V212" s="235"/>
      <c r="W212" s="235"/>
      <c r="X212" s="131"/>
      <c r="Y212" s="131"/>
      <c r="Z212" s="131"/>
      <c r="AA212" s="131"/>
      <c r="AB212" s="131"/>
      <c r="AC212" s="131"/>
      <c r="AD212" s="131"/>
      <c r="AE212" s="131"/>
      <c r="AF212" s="131"/>
      <c r="AG212" s="131"/>
      <c r="AH212" s="131"/>
      <c r="AI212" s="131"/>
      <c r="AJ212" s="131"/>
      <c r="AK212" s="131"/>
      <c r="AL212" s="235"/>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235">
        <v>0.15</v>
      </c>
      <c r="BH212" s="235" t="s">
        <v>411</v>
      </c>
      <c r="BI212" s="129" t="s">
        <v>99</v>
      </c>
      <c r="BJ212" s="132" t="s">
        <v>530</v>
      </c>
      <c r="BK212" s="218" t="s">
        <v>120</v>
      </c>
      <c r="BL212" s="218" t="s">
        <v>473</v>
      </c>
      <c r="BM212" s="226" t="s">
        <v>206</v>
      </c>
      <c r="BN212" s="258"/>
      <c r="BO212" s="258"/>
      <c r="BP212" s="258"/>
      <c r="BQ212" s="258"/>
      <c r="BR212" s="258"/>
      <c r="BS212" s="258"/>
      <c r="BT212" s="258"/>
      <c r="BU212" s="258"/>
      <c r="BV212" s="258"/>
      <c r="BW212" s="258"/>
      <c r="BX212" s="258"/>
      <c r="BY212" s="258"/>
      <c r="BZ212" s="258"/>
      <c r="CA212" s="258"/>
      <c r="CB212" s="258"/>
      <c r="CC212" s="258"/>
      <c r="CD212" s="258"/>
      <c r="CE212" s="258"/>
      <c r="CF212" s="258"/>
      <c r="CG212" s="258"/>
      <c r="CH212" s="258"/>
      <c r="CI212" s="258"/>
      <c r="CJ212" s="258"/>
      <c r="CK212" s="258"/>
      <c r="CL212" s="258"/>
      <c r="CM212" s="258"/>
      <c r="CN212" s="258"/>
      <c r="CO212" s="258"/>
      <c r="CP212" s="258"/>
      <c r="CQ212" s="258"/>
      <c r="CR212" s="258"/>
      <c r="CS212" s="258"/>
      <c r="CT212" s="258"/>
      <c r="CU212" s="258"/>
      <c r="CV212" s="258"/>
      <c r="CW212" s="258"/>
      <c r="CX212" s="258"/>
      <c r="CY212" s="258"/>
      <c r="CZ212" s="258"/>
      <c r="DA212" s="258"/>
      <c r="DB212" s="258"/>
      <c r="DC212" s="258"/>
      <c r="DD212" s="258"/>
      <c r="DE212" s="258"/>
      <c r="DF212" s="258"/>
      <c r="DG212" s="258"/>
      <c r="DH212" s="258"/>
      <c r="DI212" s="258"/>
      <c r="DJ212" s="258"/>
      <c r="DK212" s="258"/>
      <c r="DL212" s="258"/>
      <c r="DM212" s="258"/>
      <c r="DN212" s="258"/>
      <c r="DO212" s="258"/>
      <c r="DP212" s="258"/>
      <c r="DQ212" s="258"/>
      <c r="DR212" s="258"/>
      <c r="DS212" s="258"/>
      <c r="DT212" s="258"/>
      <c r="DU212" s="258"/>
      <c r="DV212" s="258"/>
      <c r="DW212" s="258"/>
      <c r="DX212" s="258"/>
      <c r="DY212" s="258"/>
      <c r="DZ212" s="258"/>
      <c r="EA212" s="258"/>
      <c r="EB212" s="258"/>
      <c r="EC212" s="258"/>
      <c r="ED212" s="258"/>
      <c r="EE212" s="258"/>
      <c r="EF212" s="258"/>
      <c r="EG212" s="258"/>
      <c r="EH212" s="258"/>
      <c r="EI212" s="258"/>
      <c r="EJ212" s="258"/>
      <c r="EK212" s="258"/>
      <c r="EL212" s="258"/>
      <c r="EM212" s="258"/>
      <c r="EN212" s="258"/>
      <c r="EO212" s="258"/>
      <c r="EP212" s="258"/>
      <c r="EQ212" s="258"/>
      <c r="ER212" s="258"/>
      <c r="ES212" s="258"/>
      <c r="ET212" s="258"/>
      <c r="EU212" s="258"/>
      <c r="EV212" s="258"/>
      <c r="EW212" s="258"/>
      <c r="EX212" s="258"/>
      <c r="EY212" s="258"/>
      <c r="EZ212" s="258"/>
      <c r="FA212" s="258"/>
      <c r="FB212" s="258"/>
      <c r="FC212" s="258"/>
      <c r="FD212" s="258"/>
      <c r="FE212" s="258"/>
      <c r="FF212" s="258"/>
      <c r="FG212" s="258"/>
      <c r="FH212" s="258"/>
      <c r="FI212" s="258"/>
      <c r="FJ212" s="258"/>
      <c r="FK212" s="258"/>
      <c r="FL212" s="258"/>
      <c r="FM212" s="258"/>
      <c r="FN212" s="258"/>
      <c r="FO212" s="258"/>
      <c r="FP212" s="258"/>
      <c r="FQ212" s="258"/>
      <c r="FR212" s="258"/>
      <c r="FS212" s="258"/>
      <c r="FT212" s="258"/>
      <c r="FU212" s="258"/>
      <c r="FV212" s="258"/>
      <c r="FW212" s="258"/>
      <c r="FX212" s="258"/>
      <c r="FY212" s="258"/>
      <c r="FZ212" s="258"/>
      <c r="GA212" s="258"/>
      <c r="GB212" s="258"/>
      <c r="GC212" s="258"/>
      <c r="GD212" s="258"/>
      <c r="GE212" s="258"/>
      <c r="GF212" s="258"/>
      <c r="GG212" s="258"/>
      <c r="GH212" s="258"/>
      <c r="GI212" s="258"/>
      <c r="GJ212" s="258"/>
      <c r="GK212" s="258"/>
      <c r="GL212" s="258"/>
      <c r="GM212" s="258"/>
      <c r="GN212" s="258"/>
      <c r="GO212" s="258"/>
      <c r="GP212" s="258"/>
      <c r="GQ212" s="258"/>
      <c r="GR212" s="258"/>
      <c r="GS212" s="258"/>
      <c r="GT212" s="258"/>
      <c r="GU212" s="258"/>
      <c r="GV212" s="258"/>
      <c r="GW212" s="258"/>
      <c r="GX212" s="258"/>
      <c r="GY212" s="258"/>
      <c r="GZ212" s="258"/>
      <c r="HA212" s="258"/>
      <c r="HB212" s="258"/>
      <c r="HC212" s="258"/>
      <c r="HD212" s="258"/>
      <c r="HE212" s="258"/>
      <c r="HF212" s="258"/>
      <c r="HG212" s="258"/>
      <c r="HH212" s="258"/>
      <c r="HI212" s="258"/>
      <c r="HJ212" s="258"/>
      <c r="HK212" s="258"/>
      <c r="HL212" s="258"/>
      <c r="HM212" s="258"/>
      <c r="HN212" s="258"/>
      <c r="HO212" s="258"/>
      <c r="HP212" s="258"/>
      <c r="HQ212" s="258"/>
      <c r="HR212" s="258"/>
      <c r="HS212" s="258"/>
      <c r="HT212" s="258"/>
      <c r="HU212" s="258"/>
      <c r="HV212" s="258"/>
      <c r="HW212" s="258"/>
      <c r="HX212" s="258"/>
      <c r="HY212" s="258"/>
      <c r="HZ212" s="258"/>
      <c r="IA212" s="258"/>
      <c r="IB212" s="258"/>
      <c r="IC212" s="258"/>
      <c r="ID212" s="258"/>
      <c r="IE212" s="258"/>
      <c r="IF212" s="258"/>
    </row>
    <row r="213" spans="1:240" s="252" customFormat="1" ht="34.5" customHeight="1" x14ac:dyDescent="0.25">
      <c r="A213" s="133">
        <f t="shared" si="68"/>
        <v>131</v>
      </c>
      <c r="B213" s="237" t="s">
        <v>531</v>
      </c>
      <c r="C213" s="223" t="s">
        <v>106</v>
      </c>
      <c r="D213" s="243" t="s">
        <v>40</v>
      </c>
      <c r="E213" s="28">
        <f t="shared" si="67"/>
        <v>0.1033</v>
      </c>
      <c r="F213" s="21">
        <v>7.3300000000000004E-2</v>
      </c>
      <c r="G213" s="30">
        <f t="shared" si="66"/>
        <v>0.03</v>
      </c>
      <c r="H213" s="222"/>
      <c r="I213" s="222"/>
      <c r="J213" s="222"/>
      <c r="K213" s="222"/>
      <c r="L213" s="222"/>
      <c r="M213" s="222">
        <f t="shared" si="71"/>
        <v>0</v>
      </c>
      <c r="N213" s="222"/>
      <c r="O213" s="222"/>
      <c r="P213" s="222"/>
      <c r="Q213" s="222"/>
      <c r="R213" s="222"/>
      <c r="S213" s="222"/>
      <c r="T213" s="222"/>
      <c r="U213" s="222">
        <f t="shared" si="72"/>
        <v>0.03</v>
      </c>
      <c r="V213" s="222">
        <v>0.03</v>
      </c>
      <c r="W213" s="222"/>
      <c r="X213" s="222"/>
      <c r="Y213" s="222"/>
      <c r="Z213" s="222"/>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232" t="s">
        <v>532</v>
      </c>
      <c r="BI213" s="223" t="s">
        <v>106</v>
      </c>
      <c r="BJ213" s="223" t="s">
        <v>533</v>
      </c>
      <c r="BK213" s="241" t="s">
        <v>398</v>
      </c>
      <c r="BL213" s="218" t="s">
        <v>473</v>
      </c>
      <c r="BM213" s="226" t="s">
        <v>1026</v>
      </c>
    </row>
    <row r="214" spans="1:240" s="252" customFormat="1" ht="34.5" customHeight="1" x14ac:dyDescent="0.25">
      <c r="A214" s="133">
        <f t="shared" si="68"/>
        <v>132</v>
      </c>
      <c r="B214" s="224" t="s">
        <v>534</v>
      </c>
      <c r="C214" s="223" t="s">
        <v>106</v>
      </c>
      <c r="D214" s="243" t="s">
        <v>40</v>
      </c>
      <c r="E214" s="28">
        <f t="shared" si="67"/>
        <v>0.25</v>
      </c>
      <c r="F214" s="21">
        <v>0.19</v>
      </c>
      <c r="G214" s="30">
        <f t="shared" si="66"/>
        <v>0.06</v>
      </c>
      <c r="H214" s="222"/>
      <c r="I214" s="222"/>
      <c r="J214" s="222"/>
      <c r="K214" s="222"/>
      <c r="L214" s="222"/>
      <c r="M214" s="222"/>
      <c r="N214" s="222"/>
      <c r="O214" s="222"/>
      <c r="P214" s="222"/>
      <c r="Q214" s="222"/>
      <c r="R214" s="222"/>
      <c r="S214" s="222"/>
      <c r="T214" s="222"/>
      <c r="U214" s="222">
        <f t="shared" si="72"/>
        <v>0.03</v>
      </c>
      <c r="V214" s="222">
        <v>0.03</v>
      </c>
      <c r="W214" s="222"/>
      <c r="X214" s="222"/>
      <c r="Y214" s="222">
        <v>0.03</v>
      </c>
      <c r="Z214" s="222"/>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5"/>
      <c r="AW214" s="131"/>
      <c r="AX214" s="131"/>
      <c r="AY214" s="131"/>
      <c r="AZ214" s="131"/>
      <c r="BA214" s="131"/>
      <c r="BB214" s="131"/>
      <c r="BC214" s="131"/>
      <c r="BD214" s="131"/>
      <c r="BE214" s="131"/>
      <c r="BF214" s="131"/>
      <c r="BG214" s="131"/>
      <c r="BH214" s="232" t="s">
        <v>107</v>
      </c>
      <c r="BI214" s="223" t="s">
        <v>106</v>
      </c>
      <c r="BJ214" s="36" t="s">
        <v>535</v>
      </c>
      <c r="BK214" s="241" t="s">
        <v>398</v>
      </c>
      <c r="BL214" s="218" t="s">
        <v>473</v>
      </c>
      <c r="BM214" s="218" t="s">
        <v>206</v>
      </c>
    </row>
    <row r="215" spans="1:240" s="252" customFormat="1" ht="34.5" customHeight="1" x14ac:dyDescent="0.25">
      <c r="A215" s="133">
        <f t="shared" si="68"/>
        <v>133</v>
      </c>
      <c r="B215" s="143" t="s">
        <v>536</v>
      </c>
      <c r="C215" s="226" t="s">
        <v>158</v>
      </c>
      <c r="D215" s="243" t="s">
        <v>40</v>
      </c>
      <c r="E215" s="28">
        <f t="shared" si="67"/>
        <v>0.1</v>
      </c>
      <c r="F215" s="28"/>
      <c r="G215" s="30">
        <f t="shared" si="66"/>
        <v>0.1</v>
      </c>
      <c r="H215" s="78"/>
      <c r="I215" s="78"/>
      <c r="J215" s="78"/>
      <c r="K215" s="78"/>
      <c r="L215" s="78">
        <v>0.05</v>
      </c>
      <c r="M215" s="78"/>
      <c r="N215" s="78"/>
      <c r="O215" s="78"/>
      <c r="P215" s="78"/>
      <c r="Q215" s="78"/>
      <c r="R215" s="78"/>
      <c r="S215" s="78"/>
      <c r="T215" s="78"/>
      <c r="U215" s="238">
        <f t="shared" si="72"/>
        <v>0.05</v>
      </c>
      <c r="V215" s="78">
        <v>0.05</v>
      </c>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238" t="s">
        <v>537</v>
      </c>
      <c r="BI215" s="226" t="s">
        <v>158</v>
      </c>
      <c r="BJ215" s="240" t="s">
        <v>538</v>
      </c>
      <c r="BK215" s="218" t="s">
        <v>120</v>
      </c>
      <c r="BL215" s="218" t="s">
        <v>473</v>
      </c>
      <c r="BM215" s="226" t="s">
        <v>1026</v>
      </c>
    </row>
    <row r="216" spans="1:240" s="252" customFormat="1" ht="34.5" customHeight="1" x14ac:dyDescent="0.25">
      <c r="A216" s="133">
        <f t="shared" si="68"/>
        <v>134</v>
      </c>
      <c r="B216" s="224" t="s">
        <v>539</v>
      </c>
      <c r="C216" s="223" t="s">
        <v>394</v>
      </c>
      <c r="D216" s="243" t="s">
        <v>40</v>
      </c>
      <c r="E216" s="28">
        <f t="shared" si="67"/>
        <v>4.0500000000000007</v>
      </c>
      <c r="F216" s="28"/>
      <c r="G216" s="30">
        <f t="shared" si="66"/>
        <v>4.0500000000000007</v>
      </c>
      <c r="H216" s="135"/>
      <c r="I216" s="131"/>
      <c r="J216" s="131"/>
      <c r="K216" s="131">
        <v>1.2</v>
      </c>
      <c r="L216" s="135"/>
      <c r="M216" s="131"/>
      <c r="N216" s="131"/>
      <c r="O216" s="131"/>
      <c r="P216" s="131"/>
      <c r="Q216" s="134"/>
      <c r="R216" s="131"/>
      <c r="S216" s="131"/>
      <c r="T216" s="131"/>
      <c r="U216" s="238">
        <f t="shared" si="72"/>
        <v>2.04</v>
      </c>
      <c r="V216" s="135">
        <f>0.89+1.15</f>
        <v>2.04</v>
      </c>
      <c r="W216" s="135"/>
      <c r="X216" s="135"/>
      <c r="Y216" s="131"/>
      <c r="Z216" s="131"/>
      <c r="AA216" s="131"/>
      <c r="AB216" s="131"/>
      <c r="AC216" s="131"/>
      <c r="AD216" s="131"/>
      <c r="AE216" s="131"/>
      <c r="AF216" s="131"/>
      <c r="AG216" s="131">
        <v>0.81</v>
      </c>
      <c r="AH216" s="131"/>
      <c r="AI216" s="131"/>
      <c r="AJ216" s="131"/>
      <c r="AK216" s="131"/>
      <c r="AL216" s="131"/>
      <c r="AM216" s="131"/>
      <c r="AN216" s="131"/>
      <c r="AO216" s="131"/>
      <c r="AP216" s="131"/>
      <c r="AQ216" s="131"/>
      <c r="AR216" s="131"/>
      <c r="AS216" s="131"/>
      <c r="AT216" s="131"/>
      <c r="AU216" s="131"/>
      <c r="AV216" s="135"/>
      <c r="AW216" s="131"/>
      <c r="AX216" s="131"/>
      <c r="AY216" s="131"/>
      <c r="AZ216" s="131"/>
      <c r="BA216" s="131"/>
      <c r="BB216" s="131"/>
      <c r="BC216" s="131"/>
      <c r="BD216" s="131"/>
      <c r="BE216" s="131"/>
      <c r="BF216" s="131"/>
      <c r="BG216" s="131"/>
      <c r="BH216" s="232"/>
      <c r="BI216" s="223" t="s">
        <v>394</v>
      </c>
      <c r="BJ216" s="36"/>
      <c r="BK216" s="25" t="s">
        <v>398</v>
      </c>
      <c r="BL216" s="218" t="s">
        <v>473</v>
      </c>
      <c r="BM216" s="218" t="s">
        <v>206</v>
      </c>
    </row>
    <row r="217" spans="1:240" s="252" customFormat="1" ht="31.5" x14ac:dyDescent="0.25">
      <c r="A217" s="56" t="s">
        <v>540</v>
      </c>
      <c r="B217" s="70" t="s">
        <v>541</v>
      </c>
      <c r="C217" s="238"/>
      <c r="D217" s="44"/>
      <c r="E217" s="59">
        <f t="shared" si="67"/>
        <v>12.3</v>
      </c>
      <c r="F217" s="59">
        <f t="shared" ref="F217:AK217" si="73">SUM(F218:F256)</f>
        <v>0.18</v>
      </c>
      <c r="G217" s="59">
        <f t="shared" si="73"/>
        <v>12.120000000000001</v>
      </c>
      <c r="H217" s="59">
        <f t="shared" si="73"/>
        <v>2.08</v>
      </c>
      <c r="I217" s="59">
        <f t="shared" si="73"/>
        <v>0.2</v>
      </c>
      <c r="J217" s="59">
        <f t="shared" si="73"/>
        <v>0</v>
      </c>
      <c r="K217" s="59">
        <f t="shared" si="73"/>
        <v>3.85</v>
      </c>
      <c r="L217" s="59">
        <f t="shared" si="73"/>
        <v>1.7700000000000005</v>
      </c>
      <c r="M217" s="59">
        <f t="shared" si="73"/>
        <v>0</v>
      </c>
      <c r="N217" s="59">
        <f t="shared" si="73"/>
        <v>0</v>
      </c>
      <c r="O217" s="59">
        <f t="shared" si="73"/>
        <v>0</v>
      </c>
      <c r="P217" s="59">
        <f t="shared" si="73"/>
        <v>0</v>
      </c>
      <c r="Q217" s="59">
        <f t="shared" si="73"/>
        <v>0</v>
      </c>
      <c r="R217" s="59">
        <f t="shared" si="73"/>
        <v>0</v>
      </c>
      <c r="S217" s="59">
        <f t="shared" si="73"/>
        <v>0</v>
      </c>
      <c r="T217" s="59">
        <f t="shared" si="73"/>
        <v>0</v>
      </c>
      <c r="U217" s="71">
        <f t="shared" si="73"/>
        <v>2.5699999999999994</v>
      </c>
      <c r="V217" s="59">
        <f t="shared" si="73"/>
        <v>1.8400000000000003</v>
      </c>
      <c r="W217" s="59">
        <f t="shared" si="73"/>
        <v>0.70000000000000007</v>
      </c>
      <c r="X217" s="59">
        <f t="shared" si="73"/>
        <v>0.03</v>
      </c>
      <c r="Y217" s="59">
        <f t="shared" si="73"/>
        <v>9.0000000000000011E-2</v>
      </c>
      <c r="Z217" s="59">
        <f t="shared" si="73"/>
        <v>0.01</v>
      </c>
      <c r="AA217" s="59">
        <f t="shared" si="73"/>
        <v>0</v>
      </c>
      <c r="AB217" s="59">
        <f t="shared" si="73"/>
        <v>0</v>
      </c>
      <c r="AC217" s="59">
        <f t="shared" si="73"/>
        <v>0</v>
      </c>
      <c r="AD217" s="59">
        <f t="shared" si="73"/>
        <v>0</v>
      </c>
      <c r="AE217" s="59">
        <f t="shared" si="73"/>
        <v>0</v>
      </c>
      <c r="AF217" s="59">
        <f t="shared" si="73"/>
        <v>0.22</v>
      </c>
      <c r="AG217" s="59">
        <f t="shared" si="73"/>
        <v>0.01</v>
      </c>
      <c r="AH217" s="59">
        <f t="shared" si="73"/>
        <v>0</v>
      </c>
      <c r="AI217" s="59">
        <f t="shared" si="73"/>
        <v>0</v>
      </c>
      <c r="AJ217" s="59">
        <f t="shared" si="73"/>
        <v>0.21000000000000002</v>
      </c>
      <c r="AK217" s="59">
        <f t="shared" si="73"/>
        <v>0</v>
      </c>
      <c r="AL217" s="59">
        <f t="shared" ref="AL217:BG217" si="74">SUM(AL218:AL256)</f>
        <v>0.26</v>
      </c>
      <c r="AM217" s="59">
        <f t="shared" si="74"/>
        <v>0</v>
      </c>
      <c r="AN217" s="59">
        <f t="shared" si="74"/>
        <v>0</v>
      </c>
      <c r="AO217" s="59">
        <f t="shared" si="74"/>
        <v>0</v>
      </c>
      <c r="AP217" s="59">
        <f t="shared" si="74"/>
        <v>0</v>
      </c>
      <c r="AQ217" s="59">
        <f t="shared" si="74"/>
        <v>0</v>
      </c>
      <c r="AR217" s="59">
        <f t="shared" si="74"/>
        <v>0</v>
      </c>
      <c r="AS217" s="59">
        <f t="shared" si="74"/>
        <v>0</v>
      </c>
      <c r="AT217" s="59">
        <f t="shared" si="74"/>
        <v>0.09</v>
      </c>
      <c r="AU217" s="59">
        <f t="shared" si="74"/>
        <v>0</v>
      </c>
      <c r="AV217" s="59">
        <f t="shared" si="74"/>
        <v>0</v>
      </c>
      <c r="AW217" s="59">
        <f t="shared" si="74"/>
        <v>0</v>
      </c>
      <c r="AX217" s="59">
        <f t="shared" si="74"/>
        <v>0</v>
      </c>
      <c r="AY217" s="59">
        <f t="shared" si="74"/>
        <v>0</v>
      </c>
      <c r="AZ217" s="59">
        <f t="shared" si="74"/>
        <v>0</v>
      </c>
      <c r="BA217" s="59">
        <f t="shared" si="74"/>
        <v>0</v>
      </c>
      <c r="BB217" s="59">
        <f t="shared" si="74"/>
        <v>0</v>
      </c>
      <c r="BC217" s="59">
        <f t="shared" si="74"/>
        <v>0.02</v>
      </c>
      <c r="BD217" s="59">
        <f t="shared" si="74"/>
        <v>0</v>
      </c>
      <c r="BE217" s="59">
        <f t="shared" si="74"/>
        <v>0</v>
      </c>
      <c r="BF217" s="59">
        <f t="shared" si="74"/>
        <v>0.15</v>
      </c>
      <c r="BG217" s="59">
        <f t="shared" si="74"/>
        <v>0.59000000000000008</v>
      </c>
      <c r="BH217" s="238"/>
      <c r="BI217" s="238"/>
      <c r="BJ217" s="238"/>
      <c r="BK217" s="238"/>
      <c r="BL217" s="238"/>
      <c r="BM217" s="238"/>
    </row>
    <row r="218" spans="1:240" s="260" customFormat="1" ht="31.5" x14ac:dyDescent="0.25">
      <c r="A218" s="215">
        <f>A216+1</f>
        <v>135</v>
      </c>
      <c r="B218" s="144" t="s">
        <v>542</v>
      </c>
      <c r="C218" s="223" t="s">
        <v>65</v>
      </c>
      <c r="D218" s="243" t="s">
        <v>41</v>
      </c>
      <c r="E218" s="20">
        <f t="shared" si="67"/>
        <v>2.1999999999999993</v>
      </c>
      <c r="F218" s="20"/>
      <c r="G218" s="28">
        <f t="shared" ref="G218:G234" si="75">SUM(H218:M218,Q218,U218,Y218:BG218)</f>
        <v>2.1999999999999993</v>
      </c>
      <c r="H218" s="238">
        <v>1.1100000000000001</v>
      </c>
      <c r="I218" s="238"/>
      <c r="J218" s="238"/>
      <c r="K218" s="238">
        <v>0.62</v>
      </c>
      <c r="L218" s="238">
        <v>0.28000000000000003</v>
      </c>
      <c r="M218" s="238">
        <f>SUM(N218:P218)</f>
        <v>0</v>
      </c>
      <c r="N218" s="238"/>
      <c r="O218" s="238"/>
      <c r="P218" s="238"/>
      <c r="Q218" s="238">
        <f>SUM(R218:T218)</f>
        <v>0</v>
      </c>
      <c r="R218" s="238"/>
      <c r="S218" s="238"/>
      <c r="T218" s="238"/>
      <c r="U218" s="238">
        <f t="shared" ref="U218:U223" si="76">SUM(V218:X218)</f>
        <v>0</v>
      </c>
      <c r="V218" s="240"/>
      <c r="W218" s="240"/>
      <c r="X218" s="240"/>
      <c r="Y218" s="240"/>
      <c r="Z218" s="240"/>
      <c r="AA218" s="240"/>
      <c r="AB218" s="240"/>
      <c r="AC218" s="240"/>
      <c r="AD218" s="240"/>
      <c r="AE218" s="240"/>
      <c r="AF218" s="240">
        <v>0.09</v>
      </c>
      <c r="AG218" s="240">
        <v>0.01</v>
      </c>
      <c r="AH218" s="240"/>
      <c r="AI218" s="240"/>
      <c r="AJ218" s="240"/>
      <c r="AK218" s="240"/>
      <c r="AL218" s="240"/>
      <c r="AM218" s="240"/>
      <c r="AN218" s="240"/>
      <c r="AO218" s="240"/>
      <c r="AP218" s="240"/>
      <c r="AQ218" s="240"/>
      <c r="AR218" s="240"/>
      <c r="AS218" s="240"/>
      <c r="AT218" s="238"/>
      <c r="AU218" s="240"/>
      <c r="AV218" s="240"/>
      <c r="AW218" s="240"/>
      <c r="AX218" s="240"/>
      <c r="AY218" s="240"/>
      <c r="AZ218" s="240"/>
      <c r="BA218" s="240"/>
      <c r="BB218" s="240"/>
      <c r="BC218" s="240"/>
      <c r="BD218" s="240"/>
      <c r="BE218" s="240"/>
      <c r="BF218" s="240"/>
      <c r="BG218" s="240">
        <v>0.09</v>
      </c>
      <c r="BH218" s="232" t="s">
        <v>112</v>
      </c>
      <c r="BI218" s="223" t="s">
        <v>65</v>
      </c>
      <c r="BJ218" s="243" t="s">
        <v>543</v>
      </c>
      <c r="BK218" s="241" t="s">
        <v>120</v>
      </c>
      <c r="BL218" s="218" t="s">
        <v>544</v>
      </c>
      <c r="BM218" s="226" t="s">
        <v>1026</v>
      </c>
      <c r="BN218" s="253"/>
      <c r="BO218" s="253"/>
      <c r="BP218" s="253"/>
      <c r="BQ218" s="253"/>
      <c r="BR218" s="253"/>
      <c r="BS218" s="253"/>
      <c r="BT218" s="253"/>
      <c r="BU218" s="253"/>
      <c r="BV218" s="253"/>
      <c r="BW218" s="253"/>
      <c r="BX218" s="253"/>
      <c r="BY218" s="253"/>
      <c r="BZ218" s="253"/>
      <c r="CA218" s="253"/>
      <c r="CB218" s="253"/>
      <c r="CC218" s="253"/>
      <c r="CD218" s="253"/>
      <c r="CE218" s="253"/>
      <c r="CF218" s="253"/>
      <c r="CG218" s="253"/>
      <c r="CH218" s="253"/>
      <c r="CI218" s="253"/>
      <c r="CJ218" s="253"/>
      <c r="CK218" s="253"/>
      <c r="CL218" s="253"/>
      <c r="CM218" s="253"/>
      <c r="CN218" s="253"/>
      <c r="CO218" s="253"/>
      <c r="CP218" s="253"/>
      <c r="CQ218" s="253"/>
      <c r="CR218" s="253"/>
      <c r="CS218" s="253"/>
      <c r="CT218" s="253"/>
      <c r="CU218" s="253"/>
      <c r="CV218" s="253"/>
      <c r="CW218" s="253"/>
      <c r="CX218" s="253"/>
      <c r="CY218" s="253"/>
      <c r="CZ218" s="253"/>
      <c r="DA218" s="253"/>
      <c r="DB218" s="253"/>
      <c r="DC218" s="253"/>
      <c r="DD218" s="253"/>
      <c r="DE218" s="253"/>
      <c r="DF218" s="253"/>
      <c r="DG218" s="253"/>
      <c r="DH218" s="253"/>
      <c r="DI218" s="253"/>
      <c r="DJ218" s="253"/>
      <c r="DK218" s="253"/>
      <c r="DL218" s="253"/>
      <c r="DM218" s="253"/>
      <c r="DN218" s="253"/>
      <c r="DO218" s="253"/>
      <c r="DP218" s="253"/>
      <c r="DQ218" s="253"/>
      <c r="DR218" s="253"/>
      <c r="DS218" s="253"/>
      <c r="DT218" s="253"/>
      <c r="DU218" s="253"/>
      <c r="DV218" s="253"/>
      <c r="DW218" s="253"/>
      <c r="DX218" s="253"/>
      <c r="DY218" s="253"/>
      <c r="DZ218" s="253"/>
      <c r="EA218" s="253"/>
      <c r="EB218" s="253"/>
      <c r="EC218" s="253"/>
      <c r="ED218" s="253"/>
      <c r="EE218" s="253"/>
      <c r="EF218" s="253"/>
      <c r="EG218" s="253"/>
      <c r="EH218" s="253"/>
      <c r="EI218" s="253"/>
      <c r="EJ218" s="253"/>
      <c r="EK218" s="253"/>
      <c r="EL218" s="253"/>
      <c r="EM218" s="253"/>
      <c r="EN218" s="253"/>
      <c r="EO218" s="253"/>
      <c r="EP218" s="253"/>
      <c r="EQ218" s="253"/>
      <c r="ER218" s="253"/>
      <c r="ES218" s="253"/>
      <c r="ET218" s="253"/>
      <c r="EU218" s="253"/>
      <c r="EV218" s="253"/>
      <c r="EW218" s="253"/>
      <c r="EX218" s="253"/>
      <c r="EY218" s="253"/>
      <c r="EZ218" s="253"/>
      <c r="FA218" s="253"/>
      <c r="FB218" s="253"/>
      <c r="FC218" s="253"/>
      <c r="FD218" s="253"/>
      <c r="FE218" s="253"/>
      <c r="FF218" s="253"/>
      <c r="FG218" s="253"/>
      <c r="FH218" s="253"/>
      <c r="FI218" s="253"/>
      <c r="FJ218" s="253"/>
      <c r="FK218" s="253"/>
      <c r="FL218" s="253"/>
      <c r="FM218" s="253"/>
      <c r="FN218" s="253"/>
      <c r="FO218" s="253"/>
      <c r="FP218" s="253"/>
      <c r="FQ218" s="253"/>
      <c r="FR218" s="253"/>
      <c r="FS218" s="253"/>
      <c r="FT218" s="253"/>
      <c r="FU218" s="253"/>
      <c r="FV218" s="253"/>
      <c r="FW218" s="253"/>
      <c r="FX218" s="253"/>
      <c r="FY218" s="253"/>
      <c r="FZ218" s="253"/>
      <c r="GA218" s="253"/>
      <c r="GB218" s="253"/>
      <c r="GC218" s="253"/>
      <c r="GD218" s="253"/>
      <c r="GE218" s="253"/>
      <c r="GF218" s="253"/>
      <c r="GG218" s="253"/>
      <c r="GH218" s="253"/>
      <c r="GI218" s="253"/>
      <c r="GJ218" s="253"/>
      <c r="GK218" s="253"/>
      <c r="GL218" s="253"/>
      <c r="GM218" s="253"/>
      <c r="GN218" s="253"/>
      <c r="GO218" s="253"/>
      <c r="GP218" s="253"/>
      <c r="GQ218" s="253"/>
      <c r="GR218" s="253"/>
      <c r="GS218" s="253"/>
      <c r="GT218" s="253"/>
      <c r="GU218" s="253"/>
      <c r="GV218" s="253"/>
      <c r="GW218" s="253"/>
      <c r="GX218" s="253"/>
      <c r="GY218" s="253"/>
      <c r="GZ218" s="253"/>
      <c r="HA218" s="253"/>
      <c r="HB218" s="253"/>
      <c r="HC218" s="253"/>
      <c r="HD218" s="253"/>
      <c r="HE218" s="253"/>
      <c r="HF218" s="253"/>
      <c r="HG218" s="253"/>
      <c r="HH218" s="253"/>
      <c r="HI218" s="253"/>
      <c r="HJ218" s="253"/>
      <c r="HK218" s="253"/>
      <c r="HL218" s="253"/>
      <c r="HM218" s="253"/>
      <c r="HN218" s="253"/>
      <c r="HO218" s="253"/>
      <c r="HP218" s="253"/>
      <c r="HQ218" s="253"/>
      <c r="HR218" s="253"/>
      <c r="HS218" s="253"/>
      <c r="HT218" s="253"/>
      <c r="HU218" s="253"/>
      <c r="HV218" s="253"/>
      <c r="HW218" s="253"/>
      <c r="HX218" s="253"/>
      <c r="HY218" s="253"/>
      <c r="HZ218" s="253"/>
      <c r="IA218" s="253"/>
      <c r="IB218" s="253"/>
      <c r="IC218" s="253"/>
      <c r="ID218" s="253"/>
      <c r="IE218" s="253"/>
      <c r="IF218" s="253"/>
    </row>
    <row r="219" spans="1:240" s="252" customFormat="1" ht="31.5" x14ac:dyDescent="0.25">
      <c r="A219" s="215">
        <f>A218+1</f>
        <v>136</v>
      </c>
      <c r="B219" s="126" t="s">
        <v>545</v>
      </c>
      <c r="C219" s="232" t="s">
        <v>71</v>
      </c>
      <c r="D219" s="243" t="s">
        <v>41</v>
      </c>
      <c r="E219" s="20">
        <f t="shared" si="67"/>
        <v>0.88</v>
      </c>
      <c r="F219" s="21"/>
      <c r="G219" s="28">
        <f t="shared" si="75"/>
        <v>0.88</v>
      </c>
      <c r="H219" s="222"/>
      <c r="I219" s="222"/>
      <c r="J219" s="222"/>
      <c r="K219" s="222"/>
      <c r="L219" s="222">
        <v>0.49</v>
      </c>
      <c r="M219" s="222"/>
      <c r="N219" s="222"/>
      <c r="O219" s="222"/>
      <c r="P219" s="222"/>
      <c r="Q219" s="222"/>
      <c r="R219" s="222"/>
      <c r="S219" s="222"/>
      <c r="T219" s="222"/>
      <c r="U219" s="238">
        <v>0.35</v>
      </c>
      <c r="V219" s="92">
        <v>0.35</v>
      </c>
      <c r="W219" s="92"/>
      <c r="X219" s="92"/>
      <c r="Y219" s="92">
        <v>0.04</v>
      </c>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63" t="s">
        <v>546</v>
      </c>
      <c r="BI219" s="232" t="s">
        <v>71</v>
      </c>
      <c r="BJ219" s="232" t="s">
        <v>547</v>
      </c>
      <c r="BK219" s="241" t="s">
        <v>120</v>
      </c>
      <c r="BL219" s="218" t="s">
        <v>202</v>
      </c>
      <c r="BM219" s="226" t="s">
        <v>1026</v>
      </c>
    </row>
    <row r="220" spans="1:240" s="252" customFormat="1" ht="31.5" x14ac:dyDescent="0.25">
      <c r="A220" s="215">
        <f t="shared" ref="A220:A244" si="77">A219+1</f>
        <v>137</v>
      </c>
      <c r="B220" s="126" t="s">
        <v>548</v>
      </c>
      <c r="C220" s="226" t="s">
        <v>79</v>
      </c>
      <c r="D220" s="243" t="s">
        <v>41</v>
      </c>
      <c r="E220" s="28">
        <f t="shared" si="67"/>
        <v>0.35</v>
      </c>
      <c r="F220" s="21"/>
      <c r="G220" s="28">
        <f t="shared" si="75"/>
        <v>0.35</v>
      </c>
      <c r="H220" s="238"/>
      <c r="I220" s="238"/>
      <c r="J220" s="238"/>
      <c r="K220" s="238">
        <v>0.04</v>
      </c>
      <c r="L220" s="238"/>
      <c r="M220" s="238"/>
      <c r="N220" s="238"/>
      <c r="O220" s="238"/>
      <c r="P220" s="238"/>
      <c r="Q220" s="238"/>
      <c r="R220" s="238"/>
      <c r="S220" s="238"/>
      <c r="T220" s="238"/>
      <c r="U220" s="238">
        <f t="shared" si="76"/>
        <v>0.16</v>
      </c>
      <c r="V220" s="240">
        <v>0.16</v>
      </c>
      <c r="W220" s="240"/>
      <c r="X220" s="240"/>
      <c r="Y220" s="240"/>
      <c r="Z220" s="240"/>
      <c r="AA220" s="240"/>
      <c r="AB220" s="240"/>
      <c r="AC220" s="240"/>
      <c r="AD220" s="240"/>
      <c r="AE220" s="240"/>
      <c r="AF220" s="240"/>
      <c r="AG220" s="240"/>
      <c r="AH220" s="240"/>
      <c r="AI220" s="240"/>
      <c r="AJ220" s="240"/>
      <c r="AK220" s="240"/>
      <c r="AL220" s="240"/>
      <c r="AM220" s="49"/>
      <c r="AN220" s="240"/>
      <c r="AO220" s="240"/>
      <c r="AP220" s="240"/>
      <c r="AQ220" s="240"/>
      <c r="AR220" s="240"/>
      <c r="AS220" s="240"/>
      <c r="AT220" s="240"/>
      <c r="AU220" s="240"/>
      <c r="AV220" s="240"/>
      <c r="AW220" s="240"/>
      <c r="AX220" s="240"/>
      <c r="AY220" s="240"/>
      <c r="AZ220" s="240"/>
      <c r="BA220" s="240"/>
      <c r="BB220" s="240"/>
      <c r="BC220" s="240"/>
      <c r="BD220" s="240"/>
      <c r="BE220" s="240"/>
      <c r="BF220" s="240">
        <v>0.15</v>
      </c>
      <c r="BG220" s="240"/>
      <c r="BH220" s="235" t="s">
        <v>270</v>
      </c>
      <c r="BI220" s="226" t="s">
        <v>79</v>
      </c>
      <c r="BJ220" s="226" t="s">
        <v>549</v>
      </c>
      <c r="BK220" s="241">
        <v>2023</v>
      </c>
      <c r="BL220" s="218" t="s">
        <v>202</v>
      </c>
      <c r="BM220" s="226" t="s">
        <v>1026</v>
      </c>
    </row>
    <row r="221" spans="1:240" s="252" customFormat="1" ht="31.5" x14ac:dyDescent="0.25">
      <c r="A221" s="215">
        <f t="shared" si="77"/>
        <v>138</v>
      </c>
      <c r="B221" s="126" t="s">
        <v>1089</v>
      </c>
      <c r="C221" s="232" t="s">
        <v>87</v>
      </c>
      <c r="D221" s="243" t="s">
        <v>41</v>
      </c>
      <c r="E221" s="20">
        <f t="shared" si="67"/>
        <v>0.27</v>
      </c>
      <c r="F221" s="28"/>
      <c r="G221" s="28">
        <f t="shared" si="75"/>
        <v>0.27</v>
      </c>
      <c r="H221" s="222"/>
      <c r="I221" s="222"/>
      <c r="J221" s="222"/>
      <c r="K221" s="222">
        <v>0.27</v>
      </c>
      <c r="L221" s="222"/>
      <c r="M221" s="222"/>
      <c r="N221" s="222"/>
      <c r="O221" s="222"/>
      <c r="P221" s="222"/>
      <c r="Q221" s="222"/>
      <c r="R221" s="222"/>
      <c r="S221" s="222"/>
      <c r="T221" s="222"/>
      <c r="U221" s="238">
        <f t="shared" si="76"/>
        <v>0</v>
      </c>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63" t="s">
        <v>550</v>
      </c>
      <c r="BI221" s="232" t="s">
        <v>87</v>
      </c>
      <c r="BJ221" s="232" t="s">
        <v>551</v>
      </c>
      <c r="BK221" s="241" t="s">
        <v>120</v>
      </c>
      <c r="BL221" s="218" t="s">
        <v>202</v>
      </c>
      <c r="BM221" s="226" t="s">
        <v>1026</v>
      </c>
    </row>
    <row r="222" spans="1:240" s="252" customFormat="1" ht="31.5" x14ac:dyDescent="0.25">
      <c r="A222" s="215">
        <f t="shared" si="77"/>
        <v>139</v>
      </c>
      <c r="B222" s="126" t="s">
        <v>552</v>
      </c>
      <c r="C222" s="36" t="s">
        <v>122</v>
      </c>
      <c r="D222" s="243" t="s">
        <v>41</v>
      </c>
      <c r="E222" s="20">
        <f t="shared" si="67"/>
        <v>1.0000000000000002</v>
      </c>
      <c r="F222" s="28"/>
      <c r="G222" s="28">
        <f t="shared" si="75"/>
        <v>1.0000000000000002</v>
      </c>
      <c r="H222" s="238">
        <v>0.45</v>
      </c>
      <c r="I222" s="238"/>
      <c r="J222" s="238"/>
      <c r="K222" s="238">
        <v>0.36</v>
      </c>
      <c r="L222" s="238">
        <v>7.0000000000000007E-2</v>
      </c>
      <c r="M222" s="238"/>
      <c r="N222" s="238"/>
      <c r="O222" s="238"/>
      <c r="P222" s="238"/>
      <c r="Q222" s="238"/>
      <c r="R222" s="238"/>
      <c r="S222" s="238"/>
      <c r="T222" s="238"/>
      <c r="U222" s="238">
        <f t="shared" si="76"/>
        <v>0</v>
      </c>
      <c r="V222" s="240"/>
      <c r="W222" s="240"/>
      <c r="X222" s="240"/>
      <c r="Y222" s="240"/>
      <c r="Z222" s="240"/>
      <c r="AA222" s="240"/>
      <c r="AB222" s="240"/>
      <c r="AC222" s="240"/>
      <c r="AD222" s="240"/>
      <c r="AE222" s="240"/>
      <c r="AF222" s="240">
        <v>0.05</v>
      </c>
      <c r="AG222" s="240"/>
      <c r="AH222" s="240"/>
      <c r="AI222" s="240"/>
      <c r="AJ222" s="240">
        <v>0.02</v>
      </c>
      <c r="AK222" s="240"/>
      <c r="AL222" s="240"/>
      <c r="AM222" s="240"/>
      <c r="AN222" s="240"/>
      <c r="AO222" s="240"/>
      <c r="AP222" s="240"/>
      <c r="AQ222" s="240"/>
      <c r="AR222" s="240"/>
      <c r="AS222" s="240"/>
      <c r="AT222" s="240">
        <v>0.05</v>
      </c>
      <c r="AU222" s="240"/>
      <c r="AV222" s="240"/>
      <c r="AW222" s="240"/>
      <c r="AX222" s="240"/>
      <c r="AY222" s="240"/>
      <c r="AZ222" s="240"/>
      <c r="BA222" s="240"/>
      <c r="BB222" s="240"/>
      <c r="BC222" s="240"/>
      <c r="BD222" s="240"/>
      <c r="BE222" s="240"/>
      <c r="BF222" s="240"/>
      <c r="BG222" s="240"/>
      <c r="BH222" s="232" t="s">
        <v>123</v>
      </c>
      <c r="BI222" s="36" t="s">
        <v>122</v>
      </c>
      <c r="BJ222" s="226" t="s">
        <v>553</v>
      </c>
      <c r="BK222" s="241" t="s">
        <v>120</v>
      </c>
      <c r="BL222" s="218" t="s">
        <v>202</v>
      </c>
      <c r="BM222" s="226" t="s">
        <v>1026</v>
      </c>
    </row>
    <row r="223" spans="1:240" s="252" customFormat="1" ht="31.5" x14ac:dyDescent="0.25">
      <c r="A223" s="215">
        <f t="shared" si="77"/>
        <v>140</v>
      </c>
      <c r="B223" s="126" t="s">
        <v>554</v>
      </c>
      <c r="C223" s="232" t="s">
        <v>138</v>
      </c>
      <c r="D223" s="243" t="s">
        <v>41</v>
      </c>
      <c r="E223" s="20">
        <f t="shared" si="67"/>
        <v>0.25</v>
      </c>
      <c r="F223" s="28"/>
      <c r="G223" s="28">
        <f t="shared" si="75"/>
        <v>0.25</v>
      </c>
      <c r="H223" s="238"/>
      <c r="I223" s="238"/>
      <c r="J223" s="238"/>
      <c r="K223" s="238">
        <v>0.25</v>
      </c>
      <c r="L223" s="238"/>
      <c r="M223" s="238"/>
      <c r="N223" s="238"/>
      <c r="O223" s="238"/>
      <c r="P223" s="238"/>
      <c r="Q223" s="238"/>
      <c r="R223" s="238"/>
      <c r="S223" s="238"/>
      <c r="T223" s="238"/>
      <c r="U223" s="238">
        <f t="shared" si="76"/>
        <v>0</v>
      </c>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63" t="s">
        <v>258</v>
      </c>
      <c r="BI223" s="232" t="s">
        <v>138</v>
      </c>
      <c r="BJ223" s="232" t="s">
        <v>555</v>
      </c>
      <c r="BK223" s="241" t="s">
        <v>120</v>
      </c>
      <c r="BL223" s="218" t="s">
        <v>202</v>
      </c>
      <c r="BM223" s="226" t="s">
        <v>1026</v>
      </c>
    </row>
    <row r="224" spans="1:240" s="252" customFormat="1" ht="31.5" x14ac:dyDescent="0.25">
      <c r="A224" s="215">
        <f t="shared" si="77"/>
        <v>141</v>
      </c>
      <c r="B224" s="126" t="s">
        <v>556</v>
      </c>
      <c r="C224" s="238" t="s">
        <v>91</v>
      </c>
      <c r="D224" s="243" t="s">
        <v>41</v>
      </c>
      <c r="E224" s="28">
        <f t="shared" si="67"/>
        <v>0.3</v>
      </c>
      <c r="F224" s="28"/>
      <c r="G224" s="28">
        <f t="shared" si="75"/>
        <v>0.3</v>
      </c>
      <c r="H224" s="78"/>
      <c r="I224" s="78"/>
      <c r="J224" s="78"/>
      <c r="K224" s="78">
        <v>0.3</v>
      </c>
      <c r="L224" s="78"/>
      <c r="M224" s="78"/>
      <c r="N224" s="78"/>
      <c r="O224" s="78"/>
      <c r="P224" s="78"/>
      <c r="Q224" s="78"/>
      <c r="R224" s="78"/>
      <c r="S224" s="78"/>
      <c r="T224" s="78"/>
      <c r="U224" s="240"/>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238" t="s">
        <v>557</v>
      </c>
      <c r="BI224" s="238" t="s">
        <v>91</v>
      </c>
      <c r="BJ224" s="238" t="s">
        <v>558</v>
      </c>
      <c r="BK224" s="241" t="s">
        <v>120</v>
      </c>
      <c r="BL224" s="218" t="s">
        <v>202</v>
      </c>
      <c r="BM224" s="226" t="s">
        <v>206</v>
      </c>
    </row>
    <row r="225" spans="1:240" s="260" customFormat="1" ht="31.5" x14ac:dyDescent="0.25">
      <c r="A225" s="215">
        <f t="shared" si="77"/>
        <v>142</v>
      </c>
      <c r="B225" s="126" t="s">
        <v>559</v>
      </c>
      <c r="C225" s="232" t="s">
        <v>95</v>
      </c>
      <c r="D225" s="243" t="s">
        <v>41</v>
      </c>
      <c r="E225" s="20">
        <f t="shared" si="67"/>
        <v>1.03</v>
      </c>
      <c r="F225" s="28"/>
      <c r="G225" s="28">
        <f t="shared" si="75"/>
        <v>1.03</v>
      </c>
      <c r="H225" s="238">
        <v>0.14000000000000001</v>
      </c>
      <c r="I225" s="238"/>
      <c r="J225" s="238"/>
      <c r="K225" s="238"/>
      <c r="L225" s="238"/>
      <c r="M225" s="238">
        <f>SUM(N225:P225)</f>
        <v>0</v>
      </c>
      <c r="N225" s="238"/>
      <c r="O225" s="238"/>
      <c r="P225" s="238"/>
      <c r="Q225" s="238">
        <f>R225+S225+T225</f>
        <v>0</v>
      </c>
      <c r="R225" s="238"/>
      <c r="S225" s="238"/>
      <c r="T225" s="238"/>
      <c r="U225" s="33">
        <f>SUM(V225:X225)</f>
        <v>0.88000000000000012</v>
      </c>
      <c r="V225" s="240">
        <v>0.2</v>
      </c>
      <c r="W225" s="240">
        <v>0.68</v>
      </c>
      <c r="X225" s="240"/>
      <c r="Y225" s="240"/>
      <c r="Z225" s="240"/>
      <c r="AA225" s="240"/>
      <c r="AB225" s="240"/>
      <c r="AC225" s="240"/>
      <c r="AD225" s="240"/>
      <c r="AE225" s="240"/>
      <c r="AF225" s="240">
        <v>0.01</v>
      </c>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63" t="s">
        <v>96</v>
      </c>
      <c r="BI225" s="232" t="s">
        <v>95</v>
      </c>
      <c r="BJ225" s="232" t="s">
        <v>1022</v>
      </c>
      <c r="BK225" s="241" t="s">
        <v>120</v>
      </c>
      <c r="BL225" s="218" t="s">
        <v>202</v>
      </c>
      <c r="BM225" s="226" t="s">
        <v>1026</v>
      </c>
      <c r="BN225" s="252"/>
      <c r="BO225" s="252"/>
      <c r="BP225" s="252"/>
      <c r="BQ225" s="252"/>
      <c r="BR225" s="252"/>
      <c r="BS225" s="252"/>
      <c r="BT225" s="252"/>
      <c r="BU225" s="252"/>
      <c r="BV225" s="252"/>
      <c r="BW225" s="252"/>
      <c r="BX225" s="252"/>
      <c r="BY225" s="252"/>
      <c r="BZ225" s="252"/>
      <c r="CA225" s="252"/>
      <c r="CB225" s="252"/>
      <c r="CC225" s="252"/>
      <c r="CD225" s="252"/>
      <c r="CE225" s="252"/>
      <c r="CF225" s="252"/>
      <c r="CG225" s="252"/>
      <c r="CH225" s="252"/>
      <c r="CI225" s="252"/>
      <c r="CJ225" s="252"/>
      <c r="CK225" s="252"/>
      <c r="CL225" s="252"/>
      <c r="CM225" s="252"/>
      <c r="CN225" s="252"/>
      <c r="CO225" s="252"/>
      <c r="CP225" s="252"/>
      <c r="CQ225" s="252"/>
      <c r="CR225" s="252"/>
      <c r="CS225" s="252"/>
      <c r="CT225" s="252"/>
      <c r="CU225" s="252"/>
      <c r="CV225" s="252"/>
      <c r="CW225" s="252"/>
      <c r="CX225" s="252"/>
      <c r="CY225" s="252"/>
      <c r="CZ225" s="252"/>
      <c r="DA225" s="252"/>
      <c r="DB225" s="252"/>
      <c r="DC225" s="252"/>
      <c r="DD225" s="252"/>
      <c r="DE225" s="252"/>
      <c r="DF225" s="252"/>
      <c r="DG225" s="252"/>
      <c r="DH225" s="252"/>
      <c r="DI225" s="252"/>
      <c r="DJ225" s="252"/>
      <c r="DK225" s="252"/>
      <c r="DL225" s="252"/>
      <c r="DM225" s="252"/>
      <c r="DN225" s="252"/>
      <c r="DO225" s="252"/>
      <c r="DP225" s="252"/>
      <c r="DQ225" s="252"/>
      <c r="DR225" s="252"/>
      <c r="DS225" s="252"/>
      <c r="DT225" s="252"/>
      <c r="DU225" s="252"/>
      <c r="DV225" s="252"/>
      <c r="DW225" s="252"/>
      <c r="DX225" s="252"/>
      <c r="DY225" s="252"/>
      <c r="DZ225" s="252"/>
      <c r="EA225" s="252"/>
      <c r="EB225" s="252"/>
      <c r="EC225" s="252"/>
      <c r="ED225" s="252"/>
      <c r="EE225" s="252"/>
      <c r="EF225" s="252"/>
      <c r="EG225" s="252"/>
      <c r="EH225" s="252"/>
      <c r="EI225" s="252"/>
      <c r="EJ225" s="252"/>
      <c r="EK225" s="252"/>
      <c r="EL225" s="252"/>
      <c r="EM225" s="252"/>
      <c r="EN225" s="252"/>
      <c r="EO225" s="252"/>
      <c r="EP225" s="252"/>
      <c r="EQ225" s="252"/>
      <c r="ER225" s="252"/>
      <c r="ES225" s="252"/>
      <c r="ET225" s="252"/>
      <c r="EU225" s="252"/>
      <c r="EV225" s="252"/>
      <c r="EW225" s="252"/>
      <c r="EX225" s="252"/>
      <c r="EY225" s="252"/>
      <c r="EZ225" s="252"/>
      <c r="FA225" s="252"/>
      <c r="FB225" s="252"/>
      <c r="FC225" s="252"/>
      <c r="FD225" s="252"/>
      <c r="FE225" s="252"/>
      <c r="FF225" s="252"/>
      <c r="FG225" s="252"/>
      <c r="FH225" s="252"/>
      <c r="FI225" s="252"/>
      <c r="FJ225" s="252"/>
      <c r="FK225" s="252"/>
      <c r="FL225" s="252"/>
      <c r="FM225" s="252"/>
      <c r="FN225" s="252"/>
      <c r="FO225" s="252"/>
      <c r="FP225" s="252"/>
      <c r="FQ225" s="252"/>
      <c r="FR225" s="252"/>
      <c r="FS225" s="252"/>
      <c r="FT225" s="252"/>
      <c r="FU225" s="252"/>
      <c r="FV225" s="252"/>
      <c r="FW225" s="252"/>
      <c r="FX225" s="252"/>
      <c r="FY225" s="252"/>
      <c r="FZ225" s="252"/>
      <c r="GA225" s="252"/>
      <c r="GB225" s="252"/>
      <c r="GC225" s="252"/>
      <c r="GD225" s="252"/>
      <c r="GE225" s="252"/>
      <c r="GF225" s="252"/>
      <c r="GG225" s="252"/>
      <c r="GH225" s="252"/>
      <c r="GI225" s="252"/>
      <c r="GJ225" s="252"/>
      <c r="GK225" s="252"/>
      <c r="GL225" s="252"/>
      <c r="GM225" s="252"/>
      <c r="GN225" s="252"/>
      <c r="GO225" s="252"/>
      <c r="GP225" s="252"/>
      <c r="GQ225" s="252"/>
      <c r="GR225" s="252"/>
      <c r="GS225" s="252"/>
      <c r="GT225" s="252"/>
      <c r="GU225" s="252"/>
      <c r="GV225" s="252"/>
      <c r="GW225" s="252"/>
      <c r="GX225" s="252"/>
      <c r="GY225" s="252"/>
      <c r="GZ225" s="252"/>
      <c r="HA225" s="252"/>
      <c r="HB225" s="252"/>
      <c r="HC225" s="252"/>
      <c r="HD225" s="252"/>
      <c r="HE225" s="252"/>
      <c r="HF225" s="252"/>
      <c r="HG225" s="252"/>
      <c r="HH225" s="252"/>
      <c r="HI225" s="252"/>
      <c r="HJ225" s="252"/>
      <c r="HK225" s="252"/>
      <c r="HL225" s="252"/>
      <c r="HM225" s="252"/>
      <c r="HN225" s="252"/>
      <c r="HO225" s="252"/>
      <c r="HP225" s="252"/>
      <c r="HQ225" s="252"/>
      <c r="HR225" s="252"/>
      <c r="HS225" s="252"/>
      <c r="HT225" s="252"/>
      <c r="HU225" s="252"/>
      <c r="HV225" s="252"/>
      <c r="HW225" s="252"/>
      <c r="HX225" s="252"/>
      <c r="HY225" s="252"/>
      <c r="HZ225" s="252"/>
      <c r="IA225" s="252"/>
      <c r="IB225" s="252"/>
      <c r="IC225" s="252"/>
      <c r="ID225" s="252"/>
      <c r="IE225" s="252"/>
      <c r="IF225" s="252"/>
    </row>
    <row r="226" spans="1:240" s="260" customFormat="1" ht="47.25" x14ac:dyDescent="0.25">
      <c r="A226" s="215">
        <f t="shared" si="77"/>
        <v>143</v>
      </c>
      <c r="B226" s="126" t="s">
        <v>560</v>
      </c>
      <c r="C226" s="232" t="s">
        <v>150</v>
      </c>
      <c r="D226" s="243" t="s">
        <v>41</v>
      </c>
      <c r="E226" s="20">
        <f t="shared" si="67"/>
        <v>0.27</v>
      </c>
      <c r="F226" s="28"/>
      <c r="G226" s="28">
        <f t="shared" si="75"/>
        <v>0.27</v>
      </c>
      <c r="H226" s="238">
        <v>7.0000000000000007E-2</v>
      </c>
      <c r="I226" s="238"/>
      <c r="J226" s="238"/>
      <c r="K226" s="238">
        <v>0.18</v>
      </c>
      <c r="L226" s="238"/>
      <c r="M226" s="238"/>
      <c r="N226" s="238"/>
      <c r="O226" s="238"/>
      <c r="P226" s="238"/>
      <c r="Q226" s="238"/>
      <c r="R226" s="238"/>
      <c r="S226" s="238"/>
      <c r="T226" s="238"/>
      <c r="U226" s="238">
        <f>SUM(V226:X226)</f>
        <v>0</v>
      </c>
      <c r="V226" s="240"/>
      <c r="W226" s="240"/>
      <c r="X226" s="240"/>
      <c r="Y226" s="240"/>
      <c r="Z226" s="240"/>
      <c r="AA226" s="240"/>
      <c r="AB226" s="240"/>
      <c r="AC226" s="240"/>
      <c r="AD226" s="240"/>
      <c r="AE226" s="240"/>
      <c r="AF226" s="240">
        <v>0.02</v>
      </c>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63" t="s">
        <v>212</v>
      </c>
      <c r="BI226" s="232" t="s">
        <v>150</v>
      </c>
      <c r="BJ226" s="232" t="s">
        <v>561</v>
      </c>
      <c r="BK226" s="241" t="s">
        <v>375</v>
      </c>
      <c r="BL226" s="218" t="s">
        <v>202</v>
      </c>
      <c r="BM226" s="226" t="s">
        <v>1026</v>
      </c>
      <c r="BN226" s="252"/>
      <c r="BO226" s="252"/>
      <c r="BP226" s="252"/>
      <c r="BQ226" s="252"/>
      <c r="BR226" s="252"/>
      <c r="BS226" s="252"/>
      <c r="BT226" s="252"/>
      <c r="BU226" s="252"/>
      <c r="BV226" s="252"/>
      <c r="BW226" s="252"/>
      <c r="BX226" s="252"/>
      <c r="BY226" s="252"/>
      <c r="BZ226" s="252"/>
      <c r="CA226" s="252"/>
      <c r="CB226" s="252"/>
      <c r="CC226" s="252"/>
      <c r="CD226" s="252"/>
      <c r="CE226" s="252"/>
      <c r="CF226" s="252"/>
      <c r="CG226" s="252"/>
      <c r="CH226" s="252"/>
      <c r="CI226" s="252"/>
      <c r="CJ226" s="252"/>
      <c r="CK226" s="252"/>
      <c r="CL226" s="252"/>
      <c r="CM226" s="252"/>
      <c r="CN226" s="252"/>
      <c r="CO226" s="252"/>
      <c r="CP226" s="252"/>
      <c r="CQ226" s="252"/>
      <c r="CR226" s="252"/>
      <c r="CS226" s="252"/>
      <c r="CT226" s="252"/>
      <c r="CU226" s="252"/>
      <c r="CV226" s="252"/>
      <c r="CW226" s="252"/>
      <c r="CX226" s="252"/>
      <c r="CY226" s="252"/>
      <c r="CZ226" s="252"/>
      <c r="DA226" s="252"/>
      <c r="DB226" s="252"/>
      <c r="DC226" s="252"/>
      <c r="DD226" s="252"/>
      <c r="DE226" s="252"/>
      <c r="DF226" s="252"/>
      <c r="DG226" s="252"/>
      <c r="DH226" s="252"/>
      <c r="DI226" s="252"/>
      <c r="DJ226" s="252"/>
      <c r="DK226" s="252"/>
      <c r="DL226" s="252"/>
      <c r="DM226" s="252"/>
      <c r="DN226" s="252"/>
      <c r="DO226" s="252"/>
      <c r="DP226" s="252"/>
      <c r="DQ226" s="252"/>
      <c r="DR226" s="252"/>
      <c r="DS226" s="252"/>
      <c r="DT226" s="252"/>
      <c r="DU226" s="252"/>
      <c r="DV226" s="252"/>
      <c r="DW226" s="252"/>
      <c r="DX226" s="252"/>
      <c r="DY226" s="252"/>
      <c r="DZ226" s="252"/>
      <c r="EA226" s="252"/>
      <c r="EB226" s="252"/>
      <c r="EC226" s="252"/>
      <c r="ED226" s="252"/>
      <c r="EE226" s="252"/>
      <c r="EF226" s="252"/>
      <c r="EG226" s="252"/>
      <c r="EH226" s="252"/>
      <c r="EI226" s="252"/>
      <c r="EJ226" s="252"/>
      <c r="EK226" s="252"/>
      <c r="EL226" s="252"/>
      <c r="EM226" s="252"/>
      <c r="EN226" s="252"/>
      <c r="EO226" s="252"/>
      <c r="EP226" s="252"/>
      <c r="EQ226" s="252"/>
      <c r="ER226" s="252"/>
      <c r="ES226" s="252"/>
      <c r="ET226" s="252"/>
      <c r="EU226" s="252"/>
      <c r="EV226" s="252"/>
      <c r="EW226" s="252"/>
      <c r="EX226" s="252"/>
      <c r="EY226" s="252"/>
      <c r="EZ226" s="252"/>
      <c r="FA226" s="252"/>
      <c r="FB226" s="252"/>
      <c r="FC226" s="252"/>
      <c r="FD226" s="252"/>
      <c r="FE226" s="252"/>
      <c r="FF226" s="252"/>
      <c r="FG226" s="252"/>
      <c r="FH226" s="252"/>
      <c r="FI226" s="252"/>
      <c r="FJ226" s="252"/>
      <c r="FK226" s="252"/>
      <c r="FL226" s="252"/>
      <c r="FM226" s="252"/>
      <c r="FN226" s="252"/>
      <c r="FO226" s="252"/>
      <c r="FP226" s="252"/>
      <c r="FQ226" s="252"/>
      <c r="FR226" s="252"/>
      <c r="FS226" s="252"/>
      <c r="FT226" s="252"/>
      <c r="FU226" s="252"/>
      <c r="FV226" s="252"/>
      <c r="FW226" s="252"/>
      <c r="FX226" s="252"/>
      <c r="FY226" s="252"/>
      <c r="FZ226" s="252"/>
      <c r="GA226" s="252"/>
      <c r="GB226" s="252"/>
      <c r="GC226" s="252"/>
      <c r="GD226" s="252"/>
      <c r="GE226" s="252"/>
      <c r="GF226" s="252"/>
      <c r="GG226" s="252"/>
      <c r="GH226" s="252"/>
      <c r="GI226" s="252"/>
      <c r="GJ226" s="252"/>
      <c r="GK226" s="252"/>
      <c r="GL226" s="252"/>
      <c r="GM226" s="252"/>
      <c r="GN226" s="252"/>
      <c r="GO226" s="252"/>
      <c r="GP226" s="252"/>
      <c r="GQ226" s="252"/>
      <c r="GR226" s="252"/>
      <c r="GS226" s="252"/>
      <c r="GT226" s="252"/>
      <c r="GU226" s="252"/>
      <c r="GV226" s="252"/>
      <c r="GW226" s="252"/>
      <c r="GX226" s="252"/>
      <c r="GY226" s="252"/>
      <c r="GZ226" s="252"/>
      <c r="HA226" s="252"/>
      <c r="HB226" s="252"/>
      <c r="HC226" s="252"/>
      <c r="HD226" s="252"/>
      <c r="HE226" s="252"/>
      <c r="HF226" s="252"/>
      <c r="HG226" s="252"/>
      <c r="HH226" s="252"/>
      <c r="HI226" s="252"/>
      <c r="HJ226" s="252"/>
      <c r="HK226" s="252"/>
      <c r="HL226" s="252"/>
      <c r="HM226" s="252"/>
      <c r="HN226" s="252"/>
      <c r="HO226" s="252"/>
      <c r="HP226" s="252"/>
      <c r="HQ226" s="252"/>
      <c r="HR226" s="252"/>
      <c r="HS226" s="252"/>
      <c r="HT226" s="252"/>
      <c r="HU226" s="252"/>
      <c r="HV226" s="252"/>
      <c r="HW226" s="252"/>
      <c r="HX226" s="252"/>
      <c r="HY226" s="252"/>
      <c r="HZ226" s="252"/>
      <c r="IA226" s="252"/>
      <c r="IB226" s="252"/>
      <c r="IC226" s="252"/>
      <c r="ID226" s="252"/>
      <c r="IE226" s="252"/>
      <c r="IF226" s="252"/>
    </row>
    <row r="227" spans="1:240" s="260" customFormat="1" ht="31.5" x14ac:dyDescent="0.25">
      <c r="A227" s="215">
        <f t="shared" si="77"/>
        <v>144</v>
      </c>
      <c r="B227" s="126" t="s">
        <v>562</v>
      </c>
      <c r="C227" s="232" t="s">
        <v>158</v>
      </c>
      <c r="D227" s="243" t="s">
        <v>41</v>
      </c>
      <c r="E227" s="20">
        <f t="shared" si="67"/>
        <v>0.70000000000000007</v>
      </c>
      <c r="F227" s="28"/>
      <c r="G227" s="28">
        <f t="shared" si="75"/>
        <v>0.70000000000000007</v>
      </c>
      <c r="H227" s="238"/>
      <c r="I227" s="238"/>
      <c r="J227" s="238"/>
      <c r="K227" s="238"/>
      <c r="L227" s="238"/>
      <c r="M227" s="238"/>
      <c r="N227" s="238"/>
      <c r="O227" s="238"/>
      <c r="P227" s="238"/>
      <c r="Q227" s="238"/>
      <c r="R227" s="238"/>
      <c r="S227" s="238"/>
      <c r="T227" s="238"/>
      <c r="U227" s="238">
        <f>SUM(V227:X227)</f>
        <v>0.67</v>
      </c>
      <c r="V227" s="240">
        <v>0.67</v>
      </c>
      <c r="W227" s="240"/>
      <c r="X227" s="240"/>
      <c r="Y227" s="240">
        <v>0.03</v>
      </c>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63" t="s">
        <v>159</v>
      </c>
      <c r="BI227" s="232" t="s">
        <v>158</v>
      </c>
      <c r="BJ227" s="232" t="s">
        <v>563</v>
      </c>
      <c r="BK227" s="241" t="s">
        <v>120</v>
      </c>
      <c r="BL227" s="218" t="s">
        <v>202</v>
      </c>
      <c r="BM227" s="226" t="s">
        <v>1026</v>
      </c>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c r="CH227" s="252"/>
      <c r="CI227" s="252"/>
      <c r="CJ227" s="252"/>
      <c r="CK227" s="252"/>
      <c r="CL227" s="252"/>
      <c r="CM227" s="252"/>
      <c r="CN227" s="252"/>
      <c r="CO227" s="252"/>
      <c r="CP227" s="252"/>
      <c r="CQ227" s="252"/>
      <c r="CR227" s="252"/>
      <c r="CS227" s="252"/>
      <c r="CT227" s="252"/>
      <c r="CU227" s="252"/>
      <c r="CV227" s="252"/>
      <c r="CW227" s="252"/>
      <c r="CX227" s="252"/>
      <c r="CY227" s="252"/>
      <c r="CZ227" s="252"/>
      <c r="DA227" s="252"/>
      <c r="DB227" s="252"/>
      <c r="DC227" s="252"/>
      <c r="DD227" s="252"/>
      <c r="DE227" s="252"/>
      <c r="DF227" s="252"/>
      <c r="DG227" s="252"/>
      <c r="DH227" s="252"/>
      <c r="DI227" s="252"/>
      <c r="DJ227" s="252"/>
      <c r="DK227" s="252"/>
      <c r="DL227" s="252"/>
      <c r="DM227" s="252"/>
      <c r="DN227" s="252"/>
      <c r="DO227" s="252"/>
      <c r="DP227" s="252"/>
      <c r="DQ227" s="252"/>
      <c r="DR227" s="252"/>
      <c r="DS227" s="252"/>
      <c r="DT227" s="252"/>
      <c r="DU227" s="252"/>
      <c r="DV227" s="252"/>
      <c r="DW227" s="252"/>
      <c r="DX227" s="252"/>
      <c r="DY227" s="252"/>
      <c r="DZ227" s="252"/>
      <c r="EA227" s="252"/>
      <c r="EB227" s="252"/>
      <c r="EC227" s="252"/>
      <c r="ED227" s="252"/>
      <c r="EE227" s="252"/>
      <c r="EF227" s="252"/>
      <c r="EG227" s="252"/>
      <c r="EH227" s="252"/>
      <c r="EI227" s="252"/>
      <c r="EJ227" s="252"/>
      <c r="EK227" s="252"/>
      <c r="EL227" s="252"/>
      <c r="EM227" s="252"/>
      <c r="EN227" s="252"/>
      <c r="EO227" s="252"/>
      <c r="EP227" s="252"/>
      <c r="EQ227" s="252"/>
      <c r="ER227" s="252"/>
      <c r="ES227" s="252"/>
      <c r="ET227" s="252"/>
      <c r="EU227" s="252"/>
      <c r="EV227" s="252"/>
      <c r="EW227" s="252"/>
      <c r="EX227" s="252"/>
      <c r="EY227" s="252"/>
      <c r="EZ227" s="252"/>
      <c r="FA227" s="252"/>
      <c r="FB227" s="252"/>
      <c r="FC227" s="252"/>
      <c r="FD227" s="252"/>
      <c r="FE227" s="252"/>
      <c r="FF227" s="252"/>
      <c r="FG227" s="252"/>
      <c r="FH227" s="252"/>
      <c r="FI227" s="252"/>
      <c r="FJ227" s="252"/>
      <c r="FK227" s="252"/>
      <c r="FL227" s="252"/>
      <c r="FM227" s="252"/>
      <c r="FN227" s="252"/>
      <c r="FO227" s="252"/>
      <c r="FP227" s="252"/>
      <c r="FQ227" s="252"/>
      <c r="FR227" s="252"/>
      <c r="FS227" s="252"/>
      <c r="FT227" s="252"/>
      <c r="FU227" s="252"/>
      <c r="FV227" s="252"/>
      <c r="FW227" s="252"/>
      <c r="FX227" s="252"/>
      <c r="FY227" s="252"/>
      <c r="FZ227" s="252"/>
      <c r="GA227" s="252"/>
      <c r="GB227" s="252"/>
      <c r="GC227" s="252"/>
      <c r="GD227" s="252"/>
      <c r="GE227" s="252"/>
      <c r="GF227" s="252"/>
      <c r="GG227" s="252"/>
      <c r="GH227" s="252"/>
      <c r="GI227" s="252"/>
      <c r="GJ227" s="252"/>
      <c r="GK227" s="252"/>
      <c r="GL227" s="252"/>
      <c r="GM227" s="252"/>
      <c r="GN227" s="252"/>
      <c r="GO227" s="252"/>
      <c r="GP227" s="252"/>
      <c r="GQ227" s="252"/>
      <c r="GR227" s="252"/>
      <c r="GS227" s="252"/>
      <c r="GT227" s="252"/>
      <c r="GU227" s="252"/>
      <c r="GV227" s="252"/>
      <c r="GW227" s="252"/>
      <c r="GX227" s="252"/>
      <c r="GY227" s="252"/>
      <c r="GZ227" s="252"/>
      <c r="HA227" s="252"/>
      <c r="HB227" s="252"/>
      <c r="HC227" s="252"/>
      <c r="HD227" s="252"/>
      <c r="HE227" s="252"/>
      <c r="HF227" s="252"/>
      <c r="HG227" s="252"/>
      <c r="HH227" s="252"/>
      <c r="HI227" s="252"/>
      <c r="HJ227" s="252"/>
      <c r="HK227" s="252"/>
      <c r="HL227" s="252"/>
      <c r="HM227" s="252"/>
      <c r="HN227" s="252"/>
      <c r="HO227" s="252"/>
      <c r="HP227" s="252"/>
      <c r="HQ227" s="252"/>
      <c r="HR227" s="252"/>
      <c r="HS227" s="252"/>
      <c r="HT227" s="252"/>
      <c r="HU227" s="252"/>
      <c r="HV227" s="252"/>
      <c r="HW227" s="252"/>
      <c r="HX227" s="252"/>
      <c r="HY227" s="252"/>
      <c r="HZ227" s="252"/>
      <c r="IA227" s="252"/>
      <c r="IB227" s="252"/>
      <c r="IC227" s="252"/>
      <c r="ID227" s="252"/>
      <c r="IE227" s="252"/>
      <c r="IF227" s="252"/>
    </row>
    <row r="228" spans="1:240" s="260" customFormat="1" ht="31.5" x14ac:dyDescent="0.25">
      <c r="A228" s="215">
        <f t="shared" si="77"/>
        <v>145</v>
      </c>
      <c r="B228" s="126" t="s">
        <v>564</v>
      </c>
      <c r="C228" s="232" t="s">
        <v>99</v>
      </c>
      <c r="D228" s="243" t="s">
        <v>41</v>
      </c>
      <c r="E228" s="20">
        <f t="shared" si="67"/>
        <v>0.5</v>
      </c>
      <c r="F228" s="28"/>
      <c r="G228" s="28">
        <f t="shared" si="75"/>
        <v>0.5</v>
      </c>
      <c r="H228" s="222"/>
      <c r="I228" s="222"/>
      <c r="J228" s="222"/>
      <c r="K228" s="222">
        <v>0.5</v>
      </c>
      <c r="L228" s="222"/>
      <c r="M228" s="222"/>
      <c r="N228" s="222"/>
      <c r="O228" s="222"/>
      <c r="P228" s="222"/>
      <c r="Q228" s="222"/>
      <c r="R228" s="222"/>
      <c r="S228" s="222"/>
      <c r="T228" s="222"/>
      <c r="U228" s="33"/>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63" t="s">
        <v>100</v>
      </c>
      <c r="BI228" s="232" t="s">
        <v>99</v>
      </c>
      <c r="BJ228" s="218" t="s">
        <v>565</v>
      </c>
      <c r="BK228" s="241" t="s">
        <v>68</v>
      </c>
      <c r="BL228" s="218" t="s">
        <v>202</v>
      </c>
      <c r="BM228" s="226" t="s">
        <v>1026</v>
      </c>
    </row>
    <row r="229" spans="1:240" s="252" customFormat="1" ht="31.5" x14ac:dyDescent="0.25">
      <c r="A229" s="215">
        <f t="shared" si="77"/>
        <v>146</v>
      </c>
      <c r="B229" s="126" t="s">
        <v>566</v>
      </c>
      <c r="C229" s="232" t="s">
        <v>166</v>
      </c>
      <c r="D229" s="243" t="s">
        <v>41</v>
      </c>
      <c r="E229" s="20">
        <f t="shared" si="67"/>
        <v>0.27</v>
      </c>
      <c r="F229" s="28"/>
      <c r="G229" s="28">
        <f t="shared" si="75"/>
        <v>0.27</v>
      </c>
      <c r="H229" s="222">
        <v>0.12</v>
      </c>
      <c r="I229" s="222"/>
      <c r="J229" s="222"/>
      <c r="K229" s="222">
        <v>0.02</v>
      </c>
      <c r="L229" s="222">
        <v>0.01</v>
      </c>
      <c r="M229" s="222">
        <f>SUM(N229:P229)</f>
        <v>0</v>
      </c>
      <c r="N229" s="222"/>
      <c r="O229" s="222"/>
      <c r="P229" s="222"/>
      <c r="Q229" s="222">
        <f>R229+S229+T229</f>
        <v>0</v>
      </c>
      <c r="R229" s="222"/>
      <c r="S229" s="222"/>
      <c r="T229" s="222"/>
      <c r="U229" s="222">
        <f>SUM(V229:X229)</f>
        <v>0.12</v>
      </c>
      <c r="V229" s="92">
        <v>0.12</v>
      </c>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235" t="s">
        <v>167</v>
      </c>
      <c r="BI229" s="232" t="s">
        <v>166</v>
      </c>
      <c r="BJ229" s="226" t="s">
        <v>567</v>
      </c>
      <c r="BK229" s="241" t="s">
        <v>68</v>
      </c>
      <c r="BL229" s="218" t="s">
        <v>202</v>
      </c>
      <c r="BM229" s="226" t="s">
        <v>1026</v>
      </c>
    </row>
    <row r="230" spans="1:240" s="252" customFormat="1" ht="31.5" x14ac:dyDescent="0.25">
      <c r="A230" s="215">
        <f t="shared" si="77"/>
        <v>147</v>
      </c>
      <c r="B230" s="126" t="s">
        <v>568</v>
      </c>
      <c r="C230" s="238" t="s">
        <v>82</v>
      </c>
      <c r="D230" s="238" t="s">
        <v>41</v>
      </c>
      <c r="E230" s="78">
        <f t="shared" si="67"/>
        <v>0.37</v>
      </c>
      <c r="F230" s="73"/>
      <c r="G230" s="28">
        <f t="shared" si="75"/>
        <v>0.37</v>
      </c>
      <c r="H230" s="238"/>
      <c r="I230" s="238"/>
      <c r="J230" s="238"/>
      <c r="K230" s="238">
        <v>0.37</v>
      </c>
      <c r="L230" s="238"/>
      <c r="M230" s="238"/>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40" t="s">
        <v>173</v>
      </c>
      <c r="BI230" s="238" t="s">
        <v>82</v>
      </c>
      <c r="BJ230" s="238" t="s">
        <v>569</v>
      </c>
      <c r="BK230" s="241" t="s">
        <v>120</v>
      </c>
      <c r="BL230" s="218" t="s">
        <v>202</v>
      </c>
      <c r="BM230" s="226" t="s">
        <v>1026</v>
      </c>
    </row>
    <row r="231" spans="1:240" s="260" customFormat="1" ht="31.5" x14ac:dyDescent="0.25">
      <c r="A231" s="215">
        <f t="shared" si="77"/>
        <v>148</v>
      </c>
      <c r="B231" s="126" t="s">
        <v>570</v>
      </c>
      <c r="C231" s="223" t="s">
        <v>106</v>
      </c>
      <c r="D231" s="243" t="s">
        <v>41</v>
      </c>
      <c r="E231" s="78">
        <f t="shared" si="67"/>
        <v>0.45</v>
      </c>
      <c r="F231" s="73">
        <v>0.18</v>
      </c>
      <c r="G231" s="28">
        <f t="shared" si="75"/>
        <v>0.27</v>
      </c>
      <c r="H231" s="222"/>
      <c r="I231" s="222">
        <v>7.0000000000000007E-2</v>
      </c>
      <c r="J231" s="222"/>
      <c r="K231" s="222">
        <v>0.2</v>
      </c>
      <c r="L231" s="222"/>
      <c r="M231" s="222"/>
      <c r="N231" s="222"/>
      <c r="O231" s="222"/>
      <c r="P231" s="222"/>
      <c r="Q231" s="222"/>
      <c r="R231" s="222"/>
      <c r="S231" s="222"/>
      <c r="T231" s="222"/>
      <c r="U231" s="238">
        <f>SUM(V231:X231)</f>
        <v>0</v>
      </c>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63" t="s">
        <v>107</v>
      </c>
      <c r="BI231" s="223" t="s">
        <v>106</v>
      </c>
      <c r="BJ231" s="232" t="s">
        <v>571</v>
      </c>
      <c r="BK231" s="241" t="s">
        <v>120</v>
      </c>
      <c r="BL231" s="218" t="s">
        <v>202</v>
      </c>
      <c r="BM231" s="226" t="s">
        <v>1026</v>
      </c>
      <c r="BN231" s="252"/>
      <c r="BO231" s="252"/>
      <c r="BP231" s="252"/>
      <c r="BQ231" s="252"/>
      <c r="BR231" s="252"/>
      <c r="BS231" s="252"/>
      <c r="BT231" s="252"/>
      <c r="BU231" s="252"/>
      <c r="BV231" s="252"/>
      <c r="BW231" s="252"/>
      <c r="BX231" s="252"/>
      <c r="BY231" s="252"/>
      <c r="BZ231" s="252"/>
      <c r="CA231" s="252"/>
      <c r="CB231" s="252"/>
      <c r="CC231" s="252"/>
      <c r="CD231" s="252"/>
      <c r="CE231" s="252"/>
      <c r="CF231" s="252"/>
      <c r="CG231" s="252"/>
      <c r="CH231" s="252"/>
      <c r="CI231" s="252"/>
      <c r="CJ231" s="252"/>
      <c r="CK231" s="252"/>
      <c r="CL231" s="252"/>
      <c r="CM231" s="252"/>
      <c r="CN231" s="252"/>
      <c r="CO231" s="252"/>
      <c r="CP231" s="252"/>
      <c r="CQ231" s="252"/>
      <c r="CR231" s="252"/>
      <c r="CS231" s="252"/>
      <c r="CT231" s="252"/>
      <c r="CU231" s="252"/>
      <c r="CV231" s="252"/>
      <c r="CW231" s="252"/>
      <c r="CX231" s="252"/>
      <c r="CY231" s="252"/>
      <c r="CZ231" s="252"/>
      <c r="DA231" s="252"/>
      <c r="DB231" s="252"/>
      <c r="DC231" s="252"/>
      <c r="DD231" s="252"/>
      <c r="DE231" s="252"/>
      <c r="DF231" s="252"/>
      <c r="DG231" s="252"/>
      <c r="DH231" s="252"/>
      <c r="DI231" s="252"/>
      <c r="DJ231" s="252"/>
      <c r="DK231" s="252"/>
      <c r="DL231" s="252"/>
      <c r="DM231" s="252"/>
      <c r="DN231" s="252"/>
      <c r="DO231" s="252"/>
      <c r="DP231" s="252"/>
      <c r="DQ231" s="252"/>
      <c r="DR231" s="252"/>
      <c r="DS231" s="252"/>
      <c r="DT231" s="252"/>
      <c r="DU231" s="252"/>
      <c r="DV231" s="252"/>
      <c r="DW231" s="252"/>
      <c r="DX231" s="252"/>
      <c r="DY231" s="252"/>
      <c r="DZ231" s="252"/>
      <c r="EA231" s="252"/>
      <c r="EB231" s="252"/>
      <c r="EC231" s="252"/>
      <c r="ED231" s="252"/>
      <c r="EE231" s="252"/>
      <c r="EF231" s="252"/>
      <c r="EG231" s="252"/>
      <c r="EH231" s="252"/>
      <c r="EI231" s="252"/>
      <c r="EJ231" s="252"/>
      <c r="EK231" s="252"/>
      <c r="EL231" s="252"/>
      <c r="EM231" s="252"/>
      <c r="EN231" s="252"/>
      <c r="EO231" s="252"/>
      <c r="EP231" s="252"/>
      <c r="EQ231" s="252"/>
      <c r="ER231" s="252"/>
      <c r="ES231" s="252"/>
      <c r="ET231" s="252"/>
      <c r="EU231" s="252"/>
      <c r="EV231" s="252"/>
      <c r="EW231" s="252"/>
      <c r="EX231" s="252"/>
      <c r="EY231" s="252"/>
      <c r="EZ231" s="252"/>
      <c r="FA231" s="252"/>
      <c r="FB231" s="252"/>
      <c r="FC231" s="252"/>
      <c r="FD231" s="252"/>
      <c r="FE231" s="252"/>
      <c r="FF231" s="252"/>
      <c r="FG231" s="252"/>
      <c r="FH231" s="252"/>
      <c r="FI231" s="252"/>
      <c r="FJ231" s="252"/>
      <c r="FK231" s="252"/>
      <c r="FL231" s="252"/>
      <c r="FM231" s="252"/>
      <c r="FN231" s="252"/>
      <c r="FO231" s="252"/>
      <c r="FP231" s="252"/>
      <c r="FQ231" s="252"/>
      <c r="FR231" s="252"/>
      <c r="FS231" s="252"/>
      <c r="FT231" s="252"/>
      <c r="FU231" s="252"/>
      <c r="FV231" s="252"/>
      <c r="FW231" s="252"/>
      <c r="FX231" s="252"/>
      <c r="FY231" s="252"/>
      <c r="FZ231" s="252"/>
      <c r="GA231" s="252"/>
      <c r="GB231" s="252"/>
      <c r="GC231" s="252"/>
      <c r="GD231" s="252"/>
      <c r="GE231" s="252"/>
      <c r="GF231" s="252"/>
      <c r="GG231" s="252"/>
      <c r="GH231" s="252"/>
      <c r="GI231" s="252"/>
      <c r="GJ231" s="252"/>
      <c r="GK231" s="252"/>
      <c r="GL231" s="252"/>
      <c r="GM231" s="252"/>
      <c r="GN231" s="252"/>
      <c r="GO231" s="252"/>
      <c r="GP231" s="252"/>
      <c r="GQ231" s="252"/>
      <c r="GR231" s="252"/>
      <c r="GS231" s="252"/>
      <c r="GT231" s="252"/>
      <c r="GU231" s="252"/>
      <c r="GV231" s="252"/>
      <c r="GW231" s="252"/>
      <c r="GX231" s="252"/>
      <c r="GY231" s="252"/>
      <c r="GZ231" s="252"/>
      <c r="HA231" s="252"/>
      <c r="HB231" s="252"/>
      <c r="HC231" s="252"/>
      <c r="HD231" s="252"/>
      <c r="HE231" s="252"/>
      <c r="HF231" s="252"/>
      <c r="HG231" s="252"/>
      <c r="HH231" s="252"/>
      <c r="HI231" s="252"/>
      <c r="HJ231" s="252"/>
      <c r="HK231" s="252"/>
      <c r="HL231" s="252"/>
      <c r="HM231" s="252"/>
      <c r="HN231" s="252"/>
      <c r="HO231" s="252"/>
      <c r="HP231" s="252"/>
      <c r="HQ231" s="252"/>
      <c r="HR231" s="252"/>
      <c r="HS231" s="252"/>
      <c r="HT231" s="252"/>
      <c r="HU231" s="252"/>
      <c r="HV231" s="252"/>
      <c r="HW231" s="252"/>
      <c r="HX231" s="252"/>
      <c r="HY231" s="252"/>
      <c r="HZ231" s="252"/>
      <c r="IA231" s="252"/>
      <c r="IB231" s="252"/>
      <c r="IC231" s="252"/>
      <c r="ID231" s="252"/>
      <c r="IE231" s="252"/>
      <c r="IF231" s="252"/>
    </row>
    <row r="232" spans="1:240" s="260" customFormat="1" ht="63" x14ac:dyDescent="0.25">
      <c r="A232" s="215">
        <f t="shared" si="77"/>
        <v>149</v>
      </c>
      <c r="B232" s="126" t="s">
        <v>572</v>
      </c>
      <c r="C232" s="223" t="s">
        <v>71</v>
      </c>
      <c r="D232" s="243" t="s">
        <v>41</v>
      </c>
      <c r="E232" s="78">
        <f t="shared" si="67"/>
        <v>0.21000000000000002</v>
      </c>
      <c r="F232" s="73"/>
      <c r="G232" s="28">
        <f t="shared" si="75"/>
        <v>0.21000000000000002</v>
      </c>
      <c r="H232" s="222">
        <v>0.01</v>
      </c>
      <c r="I232" s="222"/>
      <c r="J232" s="222"/>
      <c r="K232" s="222">
        <v>0.08</v>
      </c>
      <c r="L232" s="222">
        <v>0.11</v>
      </c>
      <c r="M232" s="222"/>
      <c r="N232" s="222"/>
      <c r="O232" s="222"/>
      <c r="P232" s="222"/>
      <c r="Q232" s="222"/>
      <c r="R232" s="222"/>
      <c r="S232" s="222"/>
      <c r="T232" s="222"/>
      <c r="U232" s="238">
        <v>0</v>
      </c>
      <c r="V232" s="92"/>
      <c r="W232" s="92"/>
      <c r="X232" s="92"/>
      <c r="Y232" s="92"/>
      <c r="Z232" s="92">
        <v>0.01</v>
      </c>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63" t="s">
        <v>573</v>
      </c>
      <c r="BI232" s="223" t="s">
        <v>71</v>
      </c>
      <c r="BJ232" s="232" t="s">
        <v>574</v>
      </c>
      <c r="BK232" s="241" t="s">
        <v>120</v>
      </c>
      <c r="BL232" s="218" t="s">
        <v>202</v>
      </c>
      <c r="BM232" s="226" t="s">
        <v>1026</v>
      </c>
      <c r="BN232" s="252"/>
      <c r="BO232" s="252"/>
      <c r="BP232" s="252"/>
      <c r="BQ232" s="252"/>
      <c r="BR232" s="252"/>
      <c r="BS232" s="252"/>
      <c r="BT232" s="252"/>
      <c r="BU232" s="252"/>
      <c r="BV232" s="252"/>
      <c r="BW232" s="252"/>
      <c r="BX232" s="252"/>
      <c r="BY232" s="252"/>
      <c r="BZ232" s="252"/>
      <c r="CA232" s="252"/>
      <c r="CB232" s="252"/>
      <c r="CC232" s="252"/>
      <c r="CD232" s="252"/>
      <c r="CE232" s="252"/>
      <c r="CF232" s="252"/>
      <c r="CG232" s="252"/>
      <c r="CH232" s="252"/>
      <c r="CI232" s="252"/>
      <c r="CJ232" s="252"/>
      <c r="CK232" s="252"/>
      <c r="CL232" s="252"/>
      <c r="CM232" s="252"/>
      <c r="CN232" s="252"/>
      <c r="CO232" s="252"/>
      <c r="CP232" s="252"/>
      <c r="CQ232" s="252"/>
      <c r="CR232" s="252"/>
      <c r="CS232" s="252"/>
      <c r="CT232" s="252"/>
      <c r="CU232" s="252"/>
      <c r="CV232" s="252"/>
      <c r="CW232" s="252"/>
      <c r="CX232" s="252"/>
      <c r="CY232" s="252"/>
      <c r="CZ232" s="252"/>
      <c r="DA232" s="252"/>
      <c r="DB232" s="252"/>
      <c r="DC232" s="252"/>
      <c r="DD232" s="252"/>
      <c r="DE232" s="252"/>
      <c r="DF232" s="252"/>
      <c r="DG232" s="252"/>
      <c r="DH232" s="252"/>
      <c r="DI232" s="252"/>
      <c r="DJ232" s="252"/>
      <c r="DK232" s="252"/>
      <c r="DL232" s="252"/>
      <c r="DM232" s="252"/>
      <c r="DN232" s="252"/>
      <c r="DO232" s="252"/>
      <c r="DP232" s="252"/>
      <c r="DQ232" s="252"/>
      <c r="DR232" s="252"/>
      <c r="DS232" s="252"/>
      <c r="DT232" s="252"/>
      <c r="DU232" s="252"/>
      <c r="DV232" s="252"/>
      <c r="DW232" s="252"/>
      <c r="DX232" s="252"/>
      <c r="DY232" s="252"/>
      <c r="DZ232" s="252"/>
      <c r="EA232" s="252"/>
      <c r="EB232" s="252"/>
      <c r="EC232" s="252"/>
      <c r="ED232" s="252"/>
      <c r="EE232" s="252"/>
      <c r="EF232" s="252"/>
      <c r="EG232" s="252"/>
      <c r="EH232" s="252"/>
      <c r="EI232" s="252"/>
      <c r="EJ232" s="252"/>
      <c r="EK232" s="252"/>
      <c r="EL232" s="252"/>
      <c r="EM232" s="252"/>
      <c r="EN232" s="252"/>
      <c r="EO232" s="252"/>
      <c r="EP232" s="252"/>
      <c r="EQ232" s="252"/>
      <c r="ER232" s="252"/>
      <c r="ES232" s="252"/>
      <c r="ET232" s="252"/>
      <c r="EU232" s="252"/>
      <c r="EV232" s="252"/>
      <c r="EW232" s="252"/>
      <c r="EX232" s="252"/>
      <c r="EY232" s="252"/>
      <c r="EZ232" s="252"/>
      <c r="FA232" s="252"/>
      <c r="FB232" s="252"/>
      <c r="FC232" s="252"/>
      <c r="FD232" s="252"/>
      <c r="FE232" s="252"/>
      <c r="FF232" s="252"/>
      <c r="FG232" s="252"/>
      <c r="FH232" s="252"/>
      <c r="FI232" s="252"/>
      <c r="FJ232" s="252"/>
      <c r="FK232" s="252"/>
      <c r="FL232" s="252"/>
      <c r="FM232" s="252"/>
      <c r="FN232" s="252"/>
      <c r="FO232" s="252"/>
      <c r="FP232" s="252"/>
      <c r="FQ232" s="252"/>
      <c r="FR232" s="252"/>
      <c r="FS232" s="252"/>
      <c r="FT232" s="252"/>
      <c r="FU232" s="252"/>
      <c r="FV232" s="252"/>
      <c r="FW232" s="252"/>
      <c r="FX232" s="252"/>
      <c r="FY232" s="252"/>
      <c r="FZ232" s="252"/>
      <c r="GA232" s="252"/>
      <c r="GB232" s="252"/>
      <c r="GC232" s="252"/>
      <c r="GD232" s="252"/>
      <c r="GE232" s="252"/>
      <c r="GF232" s="252"/>
      <c r="GG232" s="252"/>
      <c r="GH232" s="252"/>
      <c r="GI232" s="252"/>
      <c r="GJ232" s="252"/>
      <c r="GK232" s="252"/>
      <c r="GL232" s="252"/>
      <c r="GM232" s="252"/>
      <c r="GN232" s="252"/>
      <c r="GO232" s="252"/>
      <c r="GP232" s="252"/>
      <c r="GQ232" s="252"/>
      <c r="GR232" s="252"/>
      <c r="GS232" s="252"/>
      <c r="GT232" s="252"/>
      <c r="GU232" s="252"/>
      <c r="GV232" s="252"/>
      <c r="GW232" s="252"/>
      <c r="GX232" s="252"/>
      <c r="GY232" s="252"/>
      <c r="GZ232" s="252"/>
      <c r="HA232" s="252"/>
      <c r="HB232" s="252"/>
      <c r="HC232" s="252"/>
      <c r="HD232" s="252"/>
      <c r="HE232" s="252"/>
      <c r="HF232" s="252"/>
      <c r="HG232" s="252"/>
      <c r="HH232" s="252"/>
      <c r="HI232" s="252"/>
      <c r="HJ232" s="252"/>
      <c r="HK232" s="252"/>
      <c r="HL232" s="252"/>
      <c r="HM232" s="252"/>
      <c r="HN232" s="252"/>
      <c r="HO232" s="252"/>
      <c r="HP232" s="252"/>
      <c r="HQ232" s="252"/>
      <c r="HR232" s="252"/>
      <c r="HS232" s="252"/>
      <c r="HT232" s="252"/>
      <c r="HU232" s="252"/>
      <c r="HV232" s="252"/>
      <c r="HW232" s="252"/>
      <c r="HX232" s="252"/>
      <c r="HY232" s="252"/>
      <c r="HZ232" s="252"/>
      <c r="IA232" s="252"/>
      <c r="IB232" s="252"/>
      <c r="IC232" s="252"/>
      <c r="ID232" s="252"/>
      <c r="IE232" s="252"/>
      <c r="IF232" s="252"/>
    </row>
    <row r="233" spans="1:240" s="260" customFormat="1" ht="110.25" x14ac:dyDescent="0.25">
      <c r="A233" s="215">
        <f t="shared" si="77"/>
        <v>150</v>
      </c>
      <c r="B233" s="126" t="s">
        <v>575</v>
      </c>
      <c r="C233" s="223" t="s">
        <v>79</v>
      </c>
      <c r="D233" s="243" t="s">
        <v>41</v>
      </c>
      <c r="E233" s="78">
        <f t="shared" si="67"/>
        <v>0.34</v>
      </c>
      <c r="F233" s="73"/>
      <c r="G233" s="28">
        <f t="shared" si="75"/>
        <v>0.34</v>
      </c>
      <c r="H233" s="222">
        <v>0</v>
      </c>
      <c r="I233" s="222">
        <v>0.02</v>
      </c>
      <c r="J233" s="222">
        <v>0</v>
      </c>
      <c r="K233" s="222">
        <v>0.09</v>
      </c>
      <c r="L233" s="222">
        <v>0</v>
      </c>
      <c r="M233" s="222">
        <v>0</v>
      </c>
      <c r="N233" s="222">
        <v>0</v>
      </c>
      <c r="O233" s="222">
        <v>0</v>
      </c>
      <c r="P233" s="222">
        <v>0</v>
      </c>
      <c r="Q233" s="222">
        <v>0</v>
      </c>
      <c r="R233" s="222">
        <v>0</v>
      </c>
      <c r="S233" s="222">
        <v>0</v>
      </c>
      <c r="T233" s="222">
        <v>0</v>
      </c>
      <c r="U233" s="222">
        <v>0.09</v>
      </c>
      <c r="V233" s="222">
        <v>0.09</v>
      </c>
      <c r="W233" s="222">
        <v>0</v>
      </c>
      <c r="X233" s="222">
        <v>0</v>
      </c>
      <c r="Y233" s="222">
        <v>0</v>
      </c>
      <c r="Z233" s="222">
        <v>0</v>
      </c>
      <c r="AA233" s="222">
        <v>0</v>
      </c>
      <c r="AB233" s="222">
        <v>0</v>
      </c>
      <c r="AC233" s="222">
        <v>0</v>
      </c>
      <c r="AD233" s="222">
        <v>0</v>
      </c>
      <c r="AE233" s="222">
        <v>0</v>
      </c>
      <c r="AF233" s="222">
        <v>0.02</v>
      </c>
      <c r="AG233" s="222">
        <v>0</v>
      </c>
      <c r="AH233" s="222">
        <v>0</v>
      </c>
      <c r="AI233" s="222">
        <v>0</v>
      </c>
      <c r="AJ233" s="222">
        <v>0.04</v>
      </c>
      <c r="AK233" s="222">
        <v>0</v>
      </c>
      <c r="AL233" s="222">
        <v>0</v>
      </c>
      <c r="AM233" s="222">
        <v>0</v>
      </c>
      <c r="AN233" s="222">
        <v>0</v>
      </c>
      <c r="AO233" s="222">
        <v>0</v>
      </c>
      <c r="AP233" s="222">
        <v>0</v>
      </c>
      <c r="AQ233" s="222">
        <v>0</v>
      </c>
      <c r="AR233" s="222">
        <v>0</v>
      </c>
      <c r="AS233" s="222">
        <v>0</v>
      </c>
      <c r="AT233" s="222">
        <v>0.02</v>
      </c>
      <c r="AU233" s="222">
        <v>0</v>
      </c>
      <c r="AV233" s="222">
        <v>0</v>
      </c>
      <c r="AW233" s="222">
        <v>0</v>
      </c>
      <c r="AX233" s="222">
        <v>0</v>
      </c>
      <c r="AY233" s="222">
        <v>0</v>
      </c>
      <c r="AZ233" s="222">
        <v>0</v>
      </c>
      <c r="BA233" s="222">
        <v>0</v>
      </c>
      <c r="BB233" s="222">
        <v>0</v>
      </c>
      <c r="BC233" s="222">
        <v>0</v>
      </c>
      <c r="BD233" s="222">
        <v>0</v>
      </c>
      <c r="BE233" s="222">
        <v>0</v>
      </c>
      <c r="BF233" s="222">
        <v>0</v>
      </c>
      <c r="BG233" s="222">
        <v>0.06</v>
      </c>
      <c r="BH233" s="63" t="s">
        <v>576</v>
      </c>
      <c r="BI233" s="223" t="s">
        <v>79</v>
      </c>
      <c r="BJ233" s="232" t="s">
        <v>577</v>
      </c>
      <c r="BK233" s="241">
        <v>2023</v>
      </c>
      <c r="BL233" s="218" t="s">
        <v>578</v>
      </c>
      <c r="BM233" s="226" t="s">
        <v>1071</v>
      </c>
      <c r="BN233" s="252"/>
      <c r="BO233" s="252"/>
      <c r="BP233" s="252"/>
      <c r="BQ233" s="252"/>
      <c r="BR233" s="252"/>
      <c r="BS233" s="252"/>
      <c r="BT233" s="252"/>
      <c r="BU233" s="252"/>
      <c r="BV233" s="252"/>
      <c r="BW233" s="252"/>
      <c r="BX233" s="252"/>
      <c r="BY233" s="252"/>
      <c r="BZ233" s="252"/>
      <c r="CA233" s="252"/>
      <c r="CB233" s="252"/>
      <c r="CC233" s="252"/>
      <c r="CD233" s="252"/>
      <c r="CE233" s="252"/>
      <c r="CF233" s="252"/>
      <c r="CG233" s="252"/>
      <c r="CH233" s="252"/>
      <c r="CI233" s="252"/>
      <c r="CJ233" s="252"/>
      <c r="CK233" s="252"/>
      <c r="CL233" s="252"/>
      <c r="CM233" s="252"/>
      <c r="CN233" s="252"/>
      <c r="CO233" s="252"/>
      <c r="CP233" s="252"/>
      <c r="CQ233" s="252"/>
      <c r="CR233" s="252"/>
      <c r="CS233" s="252"/>
      <c r="CT233" s="252"/>
      <c r="CU233" s="252"/>
      <c r="CV233" s="252"/>
      <c r="CW233" s="252"/>
      <c r="CX233" s="252"/>
      <c r="CY233" s="252"/>
      <c r="CZ233" s="252"/>
      <c r="DA233" s="252"/>
      <c r="DB233" s="252"/>
      <c r="DC233" s="252"/>
      <c r="DD233" s="252"/>
      <c r="DE233" s="252"/>
      <c r="DF233" s="252"/>
      <c r="DG233" s="252"/>
      <c r="DH233" s="252"/>
      <c r="DI233" s="252"/>
      <c r="DJ233" s="252"/>
      <c r="DK233" s="252"/>
      <c r="DL233" s="252"/>
      <c r="DM233" s="252"/>
      <c r="DN233" s="252"/>
      <c r="DO233" s="252"/>
      <c r="DP233" s="252"/>
      <c r="DQ233" s="252"/>
      <c r="DR233" s="252"/>
      <c r="DS233" s="252"/>
      <c r="DT233" s="252"/>
      <c r="DU233" s="252"/>
      <c r="DV233" s="252"/>
      <c r="DW233" s="252"/>
      <c r="DX233" s="252"/>
      <c r="DY233" s="252"/>
      <c r="DZ233" s="252"/>
      <c r="EA233" s="252"/>
      <c r="EB233" s="252"/>
      <c r="EC233" s="252"/>
      <c r="ED233" s="252"/>
      <c r="EE233" s="252"/>
      <c r="EF233" s="252"/>
      <c r="EG233" s="252"/>
      <c r="EH233" s="252"/>
      <c r="EI233" s="252"/>
      <c r="EJ233" s="252"/>
      <c r="EK233" s="252"/>
      <c r="EL233" s="252"/>
      <c r="EM233" s="252"/>
      <c r="EN233" s="252"/>
      <c r="EO233" s="252"/>
      <c r="EP233" s="252"/>
      <c r="EQ233" s="252"/>
      <c r="ER233" s="252"/>
      <c r="ES233" s="252"/>
      <c r="ET233" s="252"/>
      <c r="EU233" s="252"/>
      <c r="EV233" s="252"/>
      <c r="EW233" s="252"/>
      <c r="EX233" s="252"/>
      <c r="EY233" s="252"/>
      <c r="EZ233" s="252"/>
      <c r="FA233" s="252"/>
      <c r="FB233" s="252"/>
      <c r="FC233" s="252"/>
      <c r="FD233" s="252"/>
      <c r="FE233" s="252"/>
      <c r="FF233" s="252"/>
      <c r="FG233" s="252"/>
      <c r="FH233" s="252"/>
      <c r="FI233" s="252"/>
      <c r="FJ233" s="252"/>
      <c r="FK233" s="252"/>
      <c r="FL233" s="252"/>
      <c r="FM233" s="252"/>
      <c r="FN233" s="252"/>
      <c r="FO233" s="252"/>
      <c r="FP233" s="252"/>
      <c r="FQ233" s="252"/>
      <c r="FR233" s="252"/>
      <c r="FS233" s="252"/>
      <c r="FT233" s="252"/>
      <c r="FU233" s="252"/>
      <c r="FV233" s="252"/>
      <c r="FW233" s="252"/>
      <c r="FX233" s="252"/>
      <c r="FY233" s="252"/>
      <c r="FZ233" s="252"/>
      <c r="GA233" s="252"/>
      <c r="GB233" s="252"/>
      <c r="GC233" s="252"/>
      <c r="GD233" s="252"/>
      <c r="GE233" s="252"/>
      <c r="GF233" s="252"/>
      <c r="GG233" s="252"/>
      <c r="GH233" s="252"/>
      <c r="GI233" s="252"/>
      <c r="GJ233" s="252"/>
      <c r="GK233" s="252"/>
      <c r="GL233" s="252"/>
      <c r="GM233" s="252"/>
      <c r="GN233" s="252"/>
      <c r="GO233" s="252"/>
      <c r="GP233" s="252"/>
      <c r="GQ233" s="252"/>
      <c r="GR233" s="252"/>
      <c r="GS233" s="252"/>
      <c r="GT233" s="252"/>
      <c r="GU233" s="252"/>
      <c r="GV233" s="252"/>
      <c r="GW233" s="252"/>
      <c r="GX233" s="252"/>
      <c r="GY233" s="252"/>
      <c r="GZ233" s="252"/>
      <c r="HA233" s="252"/>
      <c r="HB233" s="252"/>
      <c r="HC233" s="252"/>
      <c r="HD233" s="252"/>
      <c r="HE233" s="252"/>
      <c r="HF233" s="252"/>
      <c r="HG233" s="252"/>
      <c r="HH233" s="252"/>
      <c r="HI233" s="252"/>
      <c r="HJ233" s="252"/>
      <c r="HK233" s="252"/>
      <c r="HL233" s="252"/>
      <c r="HM233" s="252"/>
      <c r="HN233" s="252"/>
      <c r="HO233" s="252"/>
      <c r="HP233" s="252"/>
      <c r="HQ233" s="252"/>
      <c r="HR233" s="252"/>
      <c r="HS233" s="252"/>
      <c r="HT233" s="252"/>
      <c r="HU233" s="252"/>
      <c r="HV233" s="252"/>
      <c r="HW233" s="252"/>
      <c r="HX233" s="252"/>
      <c r="HY233" s="252"/>
      <c r="HZ233" s="252"/>
      <c r="IA233" s="252"/>
      <c r="IB233" s="252"/>
      <c r="IC233" s="252"/>
      <c r="ID233" s="252"/>
      <c r="IE233" s="252"/>
      <c r="IF233" s="252"/>
    </row>
    <row r="234" spans="1:240" s="252" customFormat="1" ht="110.25" x14ac:dyDescent="0.25">
      <c r="A234" s="215">
        <f>A233+1</f>
        <v>151</v>
      </c>
      <c r="B234" s="126" t="s">
        <v>579</v>
      </c>
      <c r="C234" s="238" t="s">
        <v>82</v>
      </c>
      <c r="D234" s="243" t="s">
        <v>41</v>
      </c>
      <c r="E234" s="20">
        <f t="shared" si="67"/>
        <v>0.4</v>
      </c>
      <c r="F234" s="28"/>
      <c r="G234" s="28">
        <f t="shared" si="75"/>
        <v>0.4</v>
      </c>
      <c r="H234" s="238">
        <v>0.01</v>
      </c>
      <c r="I234" s="238">
        <v>0.03</v>
      </c>
      <c r="J234" s="238">
        <v>0</v>
      </c>
      <c r="K234" s="238">
        <v>0.05</v>
      </c>
      <c r="L234" s="238">
        <v>0.1</v>
      </c>
      <c r="M234" s="238">
        <v>0</v>
      </c>
      <c r="N234" s="238">
        <v>0</v>
      </c>
      <c r="O234" s="238">
        <v>0</v>
      </c>
      <c r="P234" s="238">
        <v>0</v>
      </c>
      <c r="Q234" s="238">
        <v>0</v>
      </c>
      <c r="R234" s="238">
        <v>0</v>
      </c>
      <c r="S234" s="238">
        <v>0</v>
      </c>
      <c r="T234" s="238">
        <v>0</v>
      </c>
      <c r="U234" s="238">
        <v>0.04</v>
      </c>
      <c r="V234" s="238">
        <v>0.02</v>
      </c>
      <c r="W234" s="238">
        <v>0.02</v>
      </c>
      <c r="X234" s="238">
        <v>0</v>
      </c>
      <c r="Y234" s="238">
        <v>0</v>
      </c>
      <c r="Z234" s="238">
        <v>0</v>
      </c>
      <c r="AA234" s="238">
        <v>0</v>
      </c>
      <c r="AB234" s="238">
        <v>0</v>
      </c>
      <c r="AC234" s="238">
        <v>0</v>
      </c>
      <c r="AD234" s="238">
        <v>0</v>
      </c>
      <c r="AE234" s="238">
        <v>0</v>
      </c>
      <c r="AF234" s="238">
        <v>0.01</v>
      </c>
      <c r="AG234" s="238">
        <v>0</v>
      </c>
      <c r="AH234" s="238">
        <v>0</v>
      </c>
      <c r="AI234" s="238">
        <v>0</v>
      </c>
      <c r="AJ234" s="238">
        <v>0.01</v>
      </c>
      <c r="AK234" s="238">
        <v>0</v>
      </c>
      <c r="AL234" s="238">
        <v>0.14000000000000001</v>
      </c>
      <c r="AM234" s="238">
        <v>0</v>
      </c>
      <c r="AN234" s="238">
        <v>0</v>
      </c>
      <c r="AO234" s="238">
        <v>0</v>
      </c>
      <c r="AP234" s="238">
        <v>0</v>
      </c>
      <c r="AQ234" s="238">
        <v>0</v>
      </c>
      <c r="AR234" s="238">
        <v>0</v>
      </c>
      <c r="AS234" s="238">
        <v>0</v>
      </c>
      <c r="AT234" s="238">
        <v>0.01</v>
      </c>
      <c r="AU234" s="238">
        <v>0</v>
      </c>
      <c r="AV234" s="238">
        <v>0</v>
      </c>
      <c r="AW234" s="238">
        <v>0</v>
      </c>
      <c r="AX234" s="238">
        <v>0</v>
      </c>
      <c r="AY234" s="238">
        <v>0</v>
      </c>
      <c r="AZ234" s="238">
        <v>0</v>
      </c>
      <c r="BA234" s="238">
        <v>0</v>
      </c>
      <c r="BB234" s="238">
        <v>0</v>
      </c>
      <c r="BC234" s="238">
        <v>0</v>
      </c>
      <c r="BD234" s="238">
        <v>0</v>
      </c>
      <c r="BE234" s="238">
        <v>0</v>
      </c>
      <c r="BF234" s="238">
        <v>0</v>
      </c>
      <c r="BG234" s="238">
        <v>0</v>
      </c>
      <c r="BH234" s="238" t="s">
        <v>580</v>
      </c>
      <c r="BI234" s="238" t="s">
        <v>82</v>
      </c>
      <c r="BJ234" s="238" t="s">
        <v>581</v>
      </c>
      <c r="BK234" s="241" t="s">
        <v>120</v>
      </c>
      <c r="BL234" s="218" t="s">
        <v>202</v>
      </c>
      <c r="BM234" s="226" t="s">
        <v>206</v>
      </c>
    </row>
    <row r="235" spans="1:240" s="260" customFormat="1" ht="63" x14ac:dyDescent="0.25">
      <c r="A235" s="215">
        <f t="shared" si="77"/>
        <v>152</v>
      </c>
      <c r="B235" s="126" t="s">
        <v>582</v>
      </c>
      <c r="C235" s="223" t="s">
        <v>87</v>
      </c>
      <c r="D235" s="243" t="s">
        <v>41</v>
      </c>
      <c r="E235" s="20">
        <v>0.15000000000000002</v>
      </c>
      <c r="F235" s="28"/>
      <c r="G235" s="28">
        <v>0.15000000000000002</v>
      </c>
      <c r="H235" s="222"/>
      <c r="I235" s="222"/>
      <c r="J235" s="222"/>
      <c r="K235" s="222">
        <v>0.05</v>
      </c>
      <c r="L235" s="222">
        <v>0.02</v>
      </c>
      <c r="M235" s="222"/>
      <c r="N235" s="222"/>
      <c r="O235" s="222"/>
      <c r="P235" s="222"/>
      <c r="Q235" s="222"/>
      <c r="R235" s="222"/>
      <c r="S235" s="222"/>
      <c r="T235" s="222"/>
      <c r="U235" s="238">
        <v>0.08</v>
      </c>
      <c r="V235" s="92">
        <v>0.08</v>
      </c>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63" t="s">
        <v>583</v>
      </c>
      <c r="BI235" s="223" t="s">
        <v>87</v>
      </c>
      <c r="BJ235" s="232" t="s">
        <v>584</v>
      </c>
      <c r="BK235" s="241" t="s">
        <v>120</v>
      </c>
      <c r="BL235" s="218" t="s">
        <v>202</v>
      </c>
      <c r="BM235" s="226" t="s">
        <v>206</v>
      </c>
      <c r="BN235" s="252"/>
      <c r="BO235" s="252"/>
      <c r="BP235" s="252"/>
      <c r="BQ235" s="252"/>
      <c r="BR235" s="252"/>
      <c r="BS235" s="252"/>
      <c r="BT235" s="252"/>
      <c r="BU235" s="252"/>
      <c r="BV235" s="252"/>
      <c r="BW235" s="252"/>
      <c r="BX235" s="252"/>
      <c r="BY235" s="252"/>
      <c r="BZ235" s="252"/>
      <c r="CA235" s="252"/>
      <c r="CB235" s="252"/>
      <c r="CC235" s="252"/>
      <c r="CD235" s="252"/>
      <c r="CE235" s="252"/>
      <c r="CF235" s="252"/>
      <c r="CG235" s="252"/>
      <c r="CH235" s="252"/>
      <c r="CI235" s="252"/>
      <c r="CJ235" s="252"/>
      <c r="CK235" s="252"/>
      <c r="CL235" s="252"/>
      <c r="CM235" s="252"/>
      <c r="CN235" s="252"/>
      <c r="CO235" s="252"/>
      <c r="CP235" s="252"/>
      <c r="CQ235" s="252"/>
      <c r="CR235" s="252"/>
      <c r="CS235" s="252"/>
      <c r="CT235" s="252"/>
      <c r="CU235" s="252"/>
      <c r="CV235" s="252"/>
      <c r="CW235" s="252"/>
      <c r="CX235" s="252"/>
      <c r="CY235" s="252"/>
      <c r="CZ235" s="252"/>
      <c r="DA235" s="252"/>
      <c r="DB235" s="252"/>
      <c r="DC235" s="252"/>
      <c r="DD235" s="252"/>
      <c r="DE235" s="252"/>
      <c r="DF235" s="252"/>
      <c r="DG235" s="252"/>
      <c r="DH235" s="252"/>
      <c r="DI235" s="252"/>
      <c r="DJ235" s="252"/>
      <c r="DK235" s="252"/>
      <c r="DL235" s="252"/>
      <c r="DM235" s="252"/>
      <c r="DN235" s="252"/>
      <c r="DO235" s="252"/>
      <c r="DP235" s="252"/>
      <c r="DQ235" s="252"/>
      <c r="DR235" s="252"/>
      <c r="DS235" s="252"/>
      <c r="DT235" s="252"/>
      <c r="DU235" s="252"/>
      <c r="DV235" s="252"/>
      <c r="DW235" s="252"/>
      <c r="DX235" s="252"/>
      <c r="DY235" s="252"/>
      <c r="DZ235" s="252"/>
      <c r="EA235" s="252"/>
      <c r="EB235" s="252"/>
      <c r="EC235" s="252"/>
      <c r="ED235" s="252"/>
      <c r="EE235" s="252"/>
      <c r="EF235" s="252"/>
      <c r="EG235" s="252"/>
      <c r="EH235" s="252"/>
      <c r="EI235" s="252"/>
      <c r="EJ235" s="252"/>
      <c r="EK235" s="252"/>
      <c r="EL235" s="252"/>
      <c r="EM235" s="252"/>
      <c r="EN235" s="252"/>
      <c r="EO235" s="252"/>
      <c r="EP235" s="252"/>
      <c r="EQ235" s="252"/>
      <c r="ER235" s="252"/>
      <c r="ES235" s="252"/>
      <c r="ET235" s="252"/>
      <c r="EU235" s="252"/>
      <c r="EV235" s="252"/>
      <c r="EW235" s="252"/>
      <c r="EX235" s="252"/>
      <c r="EY235" s="252"/>
      <c r="EZ235" s="252"/>
      <c r="FA235" s="252"/>
      <c r="FB235" s="252"/>
      <c r="FC235" s="252"/>
      <c r="FD235" s="252"/>
      <c r="FE235" s="252"/>
      <c r="FF235" s="252"/>
      <c r="FG235" s="252"/>
      <c r="FH235" s="252"/>
      <c r="FI235" s="252"/>
      <c r="FJ235" s="252"/>
      <c r="FK235" s="252"/>
      <c r="FL235" s="252"/>
      <c r="FM235" s="252"/>
      <c r="FN235" s="252"/>
      <c r="FO235" s="252"/>
      <c r="FP235" s="252"/>
      <c r="FQ235" s="252"/>
      <c r="FR235" s="252"/>
      <c r="FS235" s="252"/>
      <c r="FT235" s="252"/>
      <c r="FU235" s="252"/>
      <c r="FV235" s="252"/>
      <c r="FW235" s="252"/>
      <c r="FX235" s="252"/>
      <c r="FY235" s="252"/>
      <c r="FZ235" s="252"/>
      <c r="GA235" s="252"/>
      <c r="GB235" s="252"/>
      <c r="GC235" s="252"/>
      <c r="GD235" s="252"/>
      <c r="GE235" s="252"/>
      <c r="GF235" s="252"/>
      <c r="GG235" s="252"/>
      <c r="GH235" s="252"/>
      <c r="GI235" s="252"/>
      <c r="GJ235" s="252"/>
      <c r="GK235" s="252"/>
      <c r="GL235" s="252"/>
      <c r="GM235" s="252"/>
      <c r="GN235" s="252"/>
      <c r="GO235" s="252"/>
      <c r="GP235" s="252"/>
      <c r="GQ235" s="252"/>
      <c r="GR235" s="252"/>
      <c r="GS235" s="252"/>
      <c r="GT235" s="252"/>
      <c r="GU235" s="252"/>
      <c r="GV235" s="252"/>
      <c r="GW235" s="252"/>
      <c r="GX235" s="252"/>
      <c r="GY235" s="252"/>
      <c r="GZ235" s="252"/>
      <c r="HA235" s="252"/>
      <c r="HB235" s="252"/>
      <c r="HC235" s="252"/>
      <c r="HD235" s="252"/>
      <c r="HE235" s="252"/>
      <c r="HF235" s="252"/>
      <c r="HG235" s="252"/>
      <c r="HH235" s="252"/>
      <c r="HI235" s="252"/>
      <c r="HJ235" s="252"/>
      <c r="HK235" s="252"/>
      <c r="HL235" s="252"/>
      <c r="HM235" s="252"/>
      <c r="HN235" s="252"/>
      <c r="HO235" s="252"/>
      <c r="HP235" s="252"/>
      <c r="HQ235" s="252"/>
      <c r="HR235" s="252"/>
      <c r="HS235" s="252"/>
      <c r="HT235" s="252"/>
      <c r="HU235" s="252"/>
      <c r="HV235" s="252"/>
      <c r="HW235" s="252"/>
      <c r="HX235" s="252"/>
      <c r="HY235" s="252"/>
      <c r="HZ235" s="252"/>
      <c r="IA235" s="252"/>
      <c r="IB235" s="252"/>
      <c r="IC235" s="252"/>
      <c r="ID235" s="252"/>
      <c r="IE235" s="252"/>
      <c r="IF235" s="252"/>
    </row>
    <row r="236" spans="1:240" s="260" customFormat="1" ht="47.25" x14ac:dyDescent="0.25">
      <c r="A236" s="215">
        <f t="shared" si="77"/>
        <v>153</v>
      </c>
      <c r="B236" s="126" t="s">
        <v>585</v>
      </c>
      <c r="C236" s="223" t="s">
        <v>134</v>
      </c>
      <c r="D236" s="243" t="s">
        <v>41</v>
      </c>
      <c r="E236" s="20">
        <v>0.08</v>
      </c>
      <c r="F236" s="28"/>
      <c r="G236" s="28">
        <v>0.08</v>
      </c>
      <c r="H236" s="222">
        <v>0</v>
      </c>
      <c r="I236" s="222">
        <v>0</v>
      </c>
      <c r="J236" s="222">
        <v>0</v>
      </c>
      <c r="K236" s="222">
        <v>0.02</v>
      </c>
      <c r="L236" s="222">
        <v>0.02</v>
      </c>
      <c r="M236" s="222">
        <v>0</v>
      </c>
      <c r="N236" s="222">
        <v>0</v>
      </c>
      <c r="O236" s="222">
        <v>0</v>
      </c>
      <c r="P236" s="222">
        <v>0</v>
      </c>
      <c r="Q236" s="222">
        <v>0</v>
      </c>
      <c r="R236" s="222">
        <v>0</v>
      </c>
      <c r="S236" s="222">
        <v>0</v>
      </c>
      <c r="T236" s="222">
        <v>0</v>
      </c>
      <c r="U236" s="238">
        <v>0.02</v>
      </c>
      <c r="V236" s="92">
        <v>0.02</v>
      </c>
      <c r="W236" s="92">
        <v>0</v>
      </c>
      <c r="X236" s="92">
        <v>0</v>
      </c>
      <c r="Y236" s="92">
        <v>0</v>
      </c>
      <c r="Z236" s="92">
        <v>0</v>
      </c>
      <c r="AA236" s="92">
        <v>0</v>
      </c>
      <c r="AB236" s="92">
        <v>0</v>
      </c>
      <c r="AC236" s="92">
        <v>0</v>
      </c>
      <c r="AD236" s="92">
        <v>0</v>
      </c>
      <c r="AE236" s="92">
        <v>0</v>
      </c>
      <c r="AF236" s="92">
        <v>0</v>
      </c>
      <c r="AG236" s="92">
        <v>0</v>
      </c>
      <c r="AH236" s="92">
        <v>0</v>
      </c>
      <c r="AI236" s="92">
        <v>0</v>
      </c>
      <c r="AJ236" s="92">
        <v>0</v>
      </c>
      <c r="AK236" s="92">
        <v>0</v>
      </c>
      <c r="AL236" s="92">
        <v>0</v>
      </c>
      <c r="AM236" s="92">
        <v>0</v>
      </c>
      <c r="AN236" s="92">
        <v>0</v>
      </c>
      <c r="AO236" s="92">
        <v>0</v>
      </c>
      <c r="AP236" s="92">
        <v>0</v>
      </c>
      <c r="AQ236" s="92">
        <v>0</v>
      </c>
      <c r="AR236" s="92">
        <v>0</v>
      </c>
      <c r="AS236" s="92">
        <v>0</v>
      </c>
      <c r="AT236" s="92">
        <v>0</v>
      </c>
      <c r="AU236" s="92">
        <v>0</v>
      </c>
      <c r="AV236" s="92">
        <v>0</v>
      </c>
      <c r="AW236" s="92">
        <v>0</v>
      </c>
      <c r="AX236" s="92">
        <v>0</v>
      </c>
      <c r="AY236" s="92">
        <v>0</v>
      </c>
      <c r="AZ236" s="92">
        <v>0</v>
      </c>
      <c r="BA236" s="92">
        <v>0</v>
      </c>
      <c r="BB236" s="92">
        <v>0</v>
      </c>
      <c r="BC236" s="92">
        <v>0</v>
      </c>
      <c r="BD236" s="92">
        <v>0</v>
      </c>
      <c r="BE236" s="92">
        <v>0</v>
      </c>
      <c r="BF236" s="92">
        <v>0</v>
      </c>
      <c r="BG236" s="92">
        <v>0.02</v>
      </c>
      <c r="BH236" s="235" t="s">
        <v>586</v>
      </c>
      <c r="BI236" s="223" t="s">
        <v>134</v>
      </c>
      <c r="BJ236" s="235" t="s">
        <v>587</v>
      </c>
      <c r="BK236" s="241" t="s">
        <v>1058</v>
      </c>
      <c r="BL236" s="218" t="s">
        <v>202</v>
      </c>
      <c r="BM236" s="226" t="s">
        <v>206</v>
      </c>
      <c r="BN236" s="252"/>
      <c r="BO236" s="252"/>
      <c r="BP236" s="252"/>
      <c r="BQ236" s="252"/>
      <c r="BR236" s="252"/>
      <c r="BS236" s="252"/>
      <c r="BT236" s="252"/>
      <c r="BU236" s="252"/>
      <c r="BV236" s="252"/>
      <c r="BW236" s="252"/>
      <c r="BX236" s="252"/>
      <c r="BY236" s="252"/>
      <c r="BZ236" s="252"/>
      <c r="CA236" s="252"/>
      <c r="CB236" s="252"/>
      <c r="CC236" s="252"/>
      <c r="CD236" s="252"/>
      <c r="CE236" s="252"/>
      <c r="CF236" s="252"/>
      <c r="CG236" s="252"/>
      <c r="CH236" s="252"/>
      <c r="CI236" s="252"/>
      <c r="CJ236" s="252"/>
      <c r="CK236" s="252"/>
      <c r="CL236" s="252"/>
      <c r="CM236" s="252"/>
      <c r="CN236" s="252"/>
      <c r="CO236" s="252"/>
      <c r="CP236" s="252"/>
      <c r="CQ236" s="252"/>
      <c r="CR236" s="252"/>
      <c r="CS236" s="252"/>
      <c r="CT236" s="252"/>
      <c r="CU236" s="252"/>
      <c r="CV236" s="252"/>
      <c r="CW236" s="252"/>
      <c r="CX236" s="252"/>
      <c r="CY236" s="252"/>
      <c r="CZ236" s="252"/>
      <c r="DA236" s="252"/>
      <c r="DB236" s="252"/>
      <c r="DC236" s="252"/>
      <c r="DD236" s="252"/>
      <c r="DE236" s="252"/>
      <c r="DF236" s="252"/>
      <c r="DG236" s="252"/>
      <c r="DH236" s="252"/>
      <c r="DI236" s="252"/>
      <c r="DJ236" s="252"/>
      <c r="DK236" s="252"/>
      <c r="DL236" s="252"/>
      <c r="DM236" s="252"/>
      <c r="DN236" s="252"/>
      <c r="DO236" s="252"/>
      <c r="DP236" s="252"/>
      <c r="DQ236" s="252"/>
      <c r="DR236" s="252"/>
      <c r="DS236" s="252"/>
      <c r="DT236" s="252"/>
      <c r="DU236" s="252"/>
      <c r="DV236" s="252"/>
      <c r="DW236" s="252"/>
      <c r="DX236" s="252"/>
      <c r="DY236" s="252"/>
      <c r="DZ236" s="252"/>
      <c r="EA236" s="252"/>
      <c r="EB236" s="252"/>
      <c r="EC236" s="252"/>
      <c r="ED236" s="252"/>
      <c r="EE236" s="252"/>
      <c r="EF236" s="252"/>
      <c r="EG236" s="252"/>
      <c r="EH236" s="252"/>
      <c r="EI236" s="252"/>
      <c r="EJ236" s="252"/>
      <c r="EK236" s="252"/>
      <c r="EL236" s="252"/>
      <c r="EM236" s="252"/>
      <c r="EN236" s="252"/>
      <c r="EO236" s="252"/>
      <c r="EP236" s="252"/>
      <c r="EQ236" s="252"/>
      <c r="ER236" s="252"/>
      <c r="ES236" s="252"/>
      <c r="ET236" s="252"/>
      <c r="EU236" s="252"/>
      <c r="EV236" s="252"/>
      <c r="EW236" s="252"/>
      <c r="EX236" s="252"/>
      <c r="EY236" s="252"/>
      <c r="EZ236" s="252"/>
      <c r="FA236" s="252"/>
      <c r="FB236" s="252"/>
      <c r="FC236" s="252"/>
      <c r="FD236" s="252"/>
      <c r="FE236" s="252"/>
      <c r="FF236" s="252"/>
      <c r="FG236" s="252"/>
      <c r="FH236" s="252"/>
      <c r="FI236" s="252"/>
      <c r="FJ236" s="252"/>
      <c r="FK236" s="252"/>
      <c r="FL236" s="252"/>
      <c r="FM236" s="252"/>
      <c r="FN236" s="252"/>
      <c r="FO236" s="252"/>
      <c r="FP236" s="252"/>
      <c r="FQ236" s="252"/>
      <c r="FR236" s="252"/>
      <c r="FS236" s="252"/>
      <c r="FT236" s="252"/>
      <c r="FU236" s="252"/>
      <c r="FV236" s="252"/>
      <c r="FW236" s="252"/>
      <c r="FX236" s="252"/>
      <c r="FY236" s="252"/>
      <c r="FZ236" s="252"/>
      <c r="GA236" s="252"/>
      <c r="GB236" s="252"/>
      <c r="GC236" s="252"/>
      <c r="GD236" s="252"/>
      <c r="GE236" s="252"/>
      <c r="GF236" s="252"/>
      <c r="GG236" s="252"/>
      <c r="GH236" s="252"/>
      <c r="GI236" s="252"/>
      <c r="GJ236" s="252"/>
      <c r="GK236" s="252"/>
      <c r="GL236" s="252"/>
      <c r="GM236" s="252"/>
      <c r="GN236" s="252"/>
      <c r="GO236" s="252"/>
      <c r="GP236" s="252"/>
      <c r="GQ236" s="252"/>
      <c r="GR236" s="252"/>
      <c r="GS236" s="252"/>
      <c r="GT236" s="252"/>
      <c r="GU236" s="252"/>
      <c r="GV236" s="252"/>
      <c r="GW236" s="252"/>
      <c r="GX236" s="252"/>
      <c r="GY236" s="252"/>
      <c r="GZ236" s="252"/>
      <c r="HA236" s="252"/>
      <c r="HB236" s="252"/>
      <c r="HC236" s="252"/>
      <c r="HD236" s="252"/>
      <c r="HE236" s="252"/>
      <c r="HF236" s="252"/>
      <c r="HG236" s="252"/>
      <c r="HH236" s="252"/>
      <c r="HI236" s="252"/>
      <c r="HJ236" s="252"/>
      <c r="HK236" s="252"/>
      <c r="HL236" s="252"/>
      <c r="HM236" s="252"/>
      <c r="HN236" s="252"/>
      <c r="HO236" s="252"/>
      <c r="HP236" s="252"/>
      <c r="HQ236" s="252"/>
      <c r="HR236" s="252"/>
      <c r="HS236" s="252"/>
      <c r="HT236" s="252"/>
      <c r="HU236" s="252"/>
      <c r="HV236" s="252"/>
      <c r="HW236" s="252"/>
      <c r="HX236" s="252"/>
      <c r="HY236" s="252"/>
      <c r="HZ236" s="252"/>
      <c r="IA236" s="252"/>
      <c r="IB236" s="252"/>
      <c r="IC236" s="252"/>
      <c r="ID236" s="252"/>
      <c r="IE236" s="252"/>
      <c r="IF236" s="252"/>
    </row>
    <row r="237" spans="1:240" s="260" customFormat="1" ht="63" x14ac:dyDescent="0.25">
      <c r="A237" s="215">
        <f t="shared" si="77"/>
        <v>154</v>
      </c>
      <c r="B237" s="126" t="s">
        <v>588</v>
      </c>
      <c r="C237" s="223" t="s">
        <v>122</v>
      </c>
      <c r="D237" s="243" t="s">
        <v>41</v>
      </c>
      <c r="E237" s="20">
        <v>0.15000000000000002</v>
      </c>
      <c r="F237" s="28"/>
      <c r="G237" s="28">
        <v>0.15000000000000002</v>
      </c>
      <c r="H237" s="222">
        <v>0</v>
      </c>
      <c r="I237" s="222">
        <v>0</v>
      </c>
      <c r="J237" s="222">
        <v>0</v>
      </c>
      <c r="K237" s="222">
        <v>0.04</v>
      </c>
      <c r="L237" s="222">
        <v>0.03</v>
      </c>
      <c r="M237" s="222">
        <v>0</v>
      </c>
      <c r="N237" s="222">
        <v>0</v>
      </c>
      <c r="O237" s="222">
        <v>0</v>
      </c>
      <c r="P237" s="222">
        <v>0</v>
      </c>
      <c r="Q237" s="222">
        <v>0</v>
      </c>
      <c r="R237" s="222">
        <v>0</v>
      </c>
      <c r="S237" s="222">
        <v>0</v>
      </c>
      <c r="T237" s="222">
        <v>0</v>
      </c>
      <c r="U237" s="238">
        <v>0.03</v>
      </c>
      <c r="V237" s="92">
        <v>0.03</v>
      </c>
      <c r="W237" s="92">
        <v>0</v>
      </c>
      <c r="X237" s="92">
        <v>0</v>
      </c>
      <c r="Y237" s="92">
        <v>0</v>
      </c>
      <c r="Z237" s="92">
        <v>0</v>
      </c>
      <c r="AA237" s="92">
        <v>0</v>
      </c>
      <c r="AB237" s="92">
        <v>0</v>
      </c>
      <c r="AC237" s="92">
        <v>0</v>
      </c>
      <c r="AD237" s="92">
        <v>0</v>
      </c>
      <c r="AE237" s="92">
        <v>0</v>
      </c>
      <c r="AF237" s="92">
        <v>0</v>
      </c>
      <c r="AG237" s="92">
        <v>0</v>
      </c>
      <c r="AH237" s="92">
        <v>0</v>
      </c>
      <c r="AI237" s="92">
        <v>0</v>
      </c>
      <c r="AJ237" s="92">
        <v>0.02</v>
      </c>
      <c r="AK237" s="92">
        <v>0</v>
      </c>
      <c r="AL237" s="92">
        <v>0.03</v>
      </c>
      <c r="AM237" s="92">
        <v>0</v>
      </c>
      <c r="AN237" s="92">
        <v>0</v>
      </c>
      <c r="AO237" s="92">
        <v>0</v>
      </c>
      <c r="AP237" s="92">
        <v>0</v>
      </c>
      <c r="AQ237" s="92">
        <v>0</v>
      </c>
      <c r="AR237" s="92">
        <v>0</v>
      </c>
      <c r="AS237" s="92">
        <v>0</v>
      </c>
      <c r="AT237" s="92">
        <v>0</v>
      </c>
      <c r="AU237" s="92">
        <v>0</v>
      </c>
      <c r="AV237" s="92">
        <v>0</v>
      </c>
      <c r="AW237" s="92">
        <v>0</v>
      </c>
      <c r="AX237" s="92">
        <v>0</v>
      </c>
      <c r="AY237" s="92">
        <v>0</v>
      </c>
      <c r="AZ237" s="92">
        <v>0</v>
      </c>
      <c r="BA237" s="92">
        <v>0</v>
      </c>
      <c r="BB237" s="92">
        <v>0</v>
      </c>
      <c r="BC237" s="92">
        <v>0</v>
      </c>
      <c r="BD237" s="92">
        <v>0</v>
      </c>
      <c r="BE237" s="92">
        <v>0</v>
      </c>
      <c r="BF237" s="92">
        <v>0</v>
      </c>
      <c r="BG237" s="92">
        <v>0</v>
      </c>
      <c r="BH237" s="232" t="s">
        <v>589</v>
      </c>
      <c r="BI237" s="223" t="s">
        <v>122</v>
      </c>
      <c r="BJ237" s="226" t="s">
        <v>590</v>
      </c>
      <c r="BK237" s="241" t="s">
        <v>398</v>
      </c>
      <c r="BL237" s="218" t="s">
        <v>202</v>
      </c>
      <c r="BM237" s="226" t="s">
        <v>206</v>
      </c>
      <c r="BN237" s="252"/>
      <c r="BO237" s="252"/>
      <c r="BP237" s="252"/>
      <c r="BQ237" s="252"/>
      <c r="BR237" s="252"/>
      <c r="BS237" s="252"/>
      <c r="BT237" s="252"/>
      <c r="BU237" s="252"/>
      <c r="BV237" s="252"/>
      <c r="BW237" s="252"/>
      <c r="BX237" s="252"/>
      <c r="BY237" s="252"/>
      <c r="BZ237" s="252"/>
      <c r="CA237" s="252"/>
      <c r="CB237" s="252"/>
      <c r="CC237" s="252"/>
      <c r="CD237" s="252"/>
      <c r="CE237" s="252"/>
      <c r="CF237" s="252"/>
      <c r="CG237" s="252"/>
      <c r="CH237" s="252"/>
      <c r="CI237" s="252"/>
      <c r="CJ237" s="252"/>
      <c r="CK237" s="252"/>
      <c r="CL237" s="252"/>
      <c r="CM237" s="252"/>
      <c r="CN237" s="252"/>
      <c r="CO237" s="252"/>
      <c r="CP237" s="252"/>
      <c r="CQ237" s="252"/>
      <c r="CR237" s="252"/>
      <c r="CS237" s="252"/>
      <c r="CT237" s="252"/>
      <c r="CU237" s="252"/>
      <c r="CV237" s="252"/>
      <c r="CW237" s="252"/>
      <c r="CX237" s="252"/>
      <c r="CY237" s="252"/>
      <c r="CZ237" s="252"/>
      <c r="DA237" s="252"/>
      <c r="DB237" s="252"/>
      <c r="DC237" s="252"/>
      <c r="DD237" s="252"/>
      <c r="DE237" s="252"/>
      <c r="DF237" s="252"/>
      <c r="DG237" s="252"/>
      <c r="DH237" s="252"/>
      <c r="DI237" s="252"/>
      <c r="DJ237" s="252"/>
      <c r="DK237" s="252"/>
      <c r="DL237" s="252"/>
      <c r="DM237" s="252"/>
      <c r="DN237" s="252"/>
      <c r="DO237" s="252"/>
      <c r="DP237" s="252"/>
      <c r="DQ237" s="252"/>
      <c r="DR237" s="252"/>
      <c r="DS237" s="252"/>
      <c r="DT237" s="252"/>
      <c r="DU237" s="252"/>
      <c r="DV237" s="252"/>
      <c r="DW237" s="252"/>
      <c r="DX237" s="252"/>
      <c r="DY237" s="252"/>
      <c r="DZ237" s="252"/>
      <c r="EA237" s="252"/>
      <c r="EB237" s="252"/>
      <c r="EC237" s="252"/>
      <c r="ED237" s="252"/>
      <c r="EE237" s="252"/>
      <c r="EF237" s="252"/>
      <c r="EG237" s="252"/>
      <c r="EH237" s="252"/>
      <c r="EI237" s="252"/>
      <c r="EJ237" s="252"/>
      <c r="EK237" s="252"/>
      <c r="EL237" s="252"/>
      <c r="EM237" s="252"/>
      <c r="EN237" s="252"/>
      <c r="EO237" s="252"/>
      <c r="EP237" s="252"/>
      <c r="EQ237" s="252"/>
      <c r="ER237" s="252"/>
      <c r="ES237" s="252"/>
      <c r="ET237" s="252"/>
      <c r="EU237" s="252"/>
      <c r="EV237" s="252"/>
      <c r="EW237" s="252"/>
      <c r="EX237" s="252"/>
      <c r="EY237" s="252"/>
      <c r="EZ237" s="252"/>
      <c r="FA237" s="252"/>
      <c r="FB237" s="252"/>
      <c r="FC237" s="252"/>
      <c r="FD237" s="252"/>
      <c r="FE237" s="252"/>
      <c r="FF237" s="252"/>
      <c r="FG237" s="252"/>
      <c r="FH237" s="252"/>
      <c r="FI237" s="252"/>
      <c r="FJ237" s="252"/>
      <c r="FK237" s="252"/>
      <c r="FL237" s="252"/>
      <c r="FM237" s="252"/>
      <c r="FN237" s="252"/>
      <c r="FO237" s="252"/>
      <c r="FP237" s="252"/>
      <c r="FQ237" s="252"/>
      <c r="FR237" s="252"/>
      <c r="FS237" s="252"/>
      <c r="FT237" s="252"/>
      <c r="FU237" s="252"/>
      <c r="FV237" s="252"/>
      <c r="FW237" s="252"/>
      <c r="FX237" s="252"/>
      <c r="FY237" s="252"/>
      <c r="FZ237" s="252"/>
      <c r="GA237" s="252"/>
      <c r="GB237" s="252"/>
      <c r="GC237" s="252"/>
      <c r="GD237" s="252"/>
      <c r="GE237" s="252"/>
      <c r="GF237" s="252"/>
      <c r="GG237" s="252"/>
      <c r="GH237" s="252"/>
      <c r="GI237" s="252"/>
      <c r="GJ237" s="252"/>
      <c r="GK237" s="252"/>
      <c r="GL237" s="252"/>
      <c r="GM237" s="252"/>
      <c r="GN237" s="252"/>
      <c r="GO237" s="252"/>
      <c r="GP237" s="252"/>
      <c r="GQ237" s="252"/>
      <c r="GR237" s="252"/>
      <c r="GS237" s="252"/>
      <c r="GT237" s="252"/>
      <c r="GU237" s="252"/>
      <c r="GV237" s="252"/>
      <c r="GW237" s="252"/>
      <c r="GX237" s="252"/>
      <c r="GY237" s="252"/>
      <c r="GZ237" s="252"/>
      <c r="HA237" s="252"/>
      <c r="HB237" s="252"/>
      <c r="HC237" s="252"/>
      <c r="HD237" s="252"/>
      <c r="HE237" s="252"/>
      <c r="HF237" s="252"/>
      <c r="HG237" s="252"/>
      <c r="HH237" s="252"/>
      <c r="HI237" s="252"/>
      <c r="HJ237" s="252"/>
      <c r="HK237" s="252"/>
      <c r="HL237" s="252"/>
      <c r="HM237" s="252"/>
      <c r="HN237" s="252"/>
      <c r="HO237" s="252"/>
      <c r="HP237" s="252"/>
      <c r="HQ237" s="252"/>
      <c r="HR237" s="252"/>
      <c r="HS237" s="252"/>
      <c r="HT237" s="252"/>
      <c r="HU237" s="252"/>
      <c r="HV237" s="252"/>
      <c r="HW237" s="252"/>
      <c r="HX237" s="252"/>
      <c r="HY237" s="252"/>
      <c r="HZ237" s="252"/>
      <c r="IA237" s="252"/>
      <c r="IB237" s="252"/>
      <c r="IC237" s="252"/>
      <c r="ID237" s="252"/>
      <c r="IE237" s="252"/>
      <c r="IF237" s="252"/>
    </row>
    <row r="238" spans="1:240" s="260" customFormat="1" ht="63" x14ac:dyDescent="0.25">
      <c r="A238" s="215">
        <f t="shared" si="77"/>
        <v>155</v>
      </c>
      <c r="B238" s="126" t="s">
        <v>591</v>
      </c>
      <c r="C238" s="223" t="s">
        <v>138</v>
      </c>
      <c r="D238" s="243" t="s">
        <v>41</v>
      </c>
      <c r="E238" s="20">
        <v>0.13999999999999999</v>
      </c>
      <c r="F238" s="28"/>
      <c r="G238" s="28">
        <v>0.13999999999999999</v>
      </c>
      <c r="H238" s="222">
        <v>0</v>
      </c>
      <c r="I238" s="222">
        <v>0</v>
      </c>
      <c r="J238" s="222">
        <v>0</v>
      </c>
      <c r="K238" s="222">
        <v>0.04</v>
      </c>
      <c r="L238" s="222">
        <v>0.08</v>
      </c>
      <c r="M238" s="222">
        <v>0</v>
      </c>
      <c r="N238" s="222">
        <v>0</v>
      </c>
      <c r="O238" s="222">
        <v>0</v>
      </c>
      <c r="P238" s="222">
        <v>0</v>
      </c>
      <c r="Q238" s="222">
        <v>0</v>
      </c>
      <c r="R238" s="222">
        <v>0</v>
      </c>
      <c r="S238" s="222">
        <v>0</v>
      </c>
      <c r="T238" s="222">
        <v>0</v>
      </c>
      <c r="U238" s="238">
        <v>0.02</v>
      </c>
      <c r="V238" s="92">
        <v>0.02</v>
      </c>
      <c r="W238" s="92">
        <v>0</v>
      </c>
      <c r="X238" s="92">
        <v>0</v>
      </c>
      <c r="Y238" s="92">
        <v>0</v>
      </c>
      <c r="Z238" s="92">
        <v>0</v>
      </c>
      <c r="AA238" s="92">
        <v>0</v>
      </c>
      <c r="AB238" s="92">
        <v>0</v>
      </c>
      <c r="AC238" s="92">
        <v>0</v>
      </c>
      <c r="AD238" s="92">
        <v>0</v>
      </c>
      <c r="AE238" s="92">
        <v>0</v>
      </c>
      <c r="AF238" s="92">
        <v>0</v>
      </c>
      <c r="AG238" s="92">
        <v>0</v>
      </c>
      <c r="AH238" s="92">
        <v>0</v>
      </c>
      <c r="AI238" s="92">
        <v>0</v>
      </c>
      <c r="AJ238" s="92">
        <v>0</v>
      </c>
      <c r="AK238" s="92">
        <v>0</v>
      </c>
      <c r="AL238" s="92">
        <v>0</v>
      </c>
      <c r="AM238" s="92">
        <v>0</v>
      </c>
      <c r="AN238" s="92">
        <v>0</v>
      </c>
      <c r="AO238" s="92">
        <v>0</v>
      </c>
      <c r="AP238" s="92">
        <v>0</v>
      </c>
      <c r="AQ238" s="92">
        <v>0</v>
      </c>
      <c r="AR238" s="92">
        <v>0</v>
      </c>
      <c r="AS238" s="92">
        <v>0</v>
      </c>
      <c r="AT238" s="92">
        <v>0</v>
      </c>
      <c r="AU238" s="92">
        <v>0</v>
      </c>
      <c r="AV238" s="92">
        <v>0</v>
      </c>
      <c r="AW238" s="92">
        <v>0</v>
      </c>
      <c r="AX238" s="92">
        <v>0</v>
      </c>
      <c r="AY238" s="92">
        <v>0</v>
      </c>
      <c r="AZ238" s="92">
        <v>0</v>
      </c>
      <c r="BA238" s="92">
        <v>0</v>
      </c>
      <c r="BB238" s="92">
        <v>0</v>
      </c>
      <c r="BC238" s="92">
        <v>0</v>
      </c>
      <c r="BD238" s="92">
        <v>0</v>
      </c>
      <c r="BE238" s="92">
        <v>0</v>
      </c>
      <c r="BF238" s="92">
        <v>0</v>
      </c>
      <c r="BG238" s="92">
        <v>0</v>
      </c>
      <c r="BH238" s="238" t="s">
        <v>592</v>
      </c>
      <c r="BI238" s="223" t="s">
        <v>138</v>
      </c>
      <c r="BJ238" s="232" t="s">
        <v>593</v>
      </c>
      <c r="BK238" s="241" t="s">
        <v>120</v>
      </c>
      <c r="BL238" s="218" t="s">
        <v>202</v>
      </c>
      <c r="BM238" s="226" t="s">
        <v>206</v>
      </c>
      <c r="BN238" s="252"/>
      <c r="BO238" s="252"/>
      <c r="BP238" s="252"/>
      <c r="BQ238" s="252"/>
      <c r="BR238" s="252"/>
      <c r="BS238" s="252"/>
      <c r="BT238" s="252"/>
      <c r="BU238" s="252"/>
      <c r="BV238" s="252"/>
      <c r="BW238" s="252"/>
      <c r="BX238" s="252"/>
      <c r="BY238" s="252"/>
      <c r="BZ238" s="252"/>
      <c r="CA238" s="252"/>
      <c r="CB238" s="252"/>
      <c r="CC238" s="252"/>
      <c r="CD238" s="252"/>
      <c r="CE238" s="252"/>
      <c r="CF238" s="252"/>
      <c r="CG238" s="252"/>
      <c r="CH238" s="252"/>
      <c r="CI238" s="252"/>
      <c r="CJ238" s="252"/>
      <c r="CK238" s="252"/>
      <c r="CL238" s="252"/>
      <c r="CM238" s="252"/>
      <c r="CN238" s="252"/>
      <c r="CO238" s="252"/>
      <c r="CP238" s="252"/>
      <c r="CQ238" s="252"/>
      <c r="CR238" s="252"/>
      <c r="CS238" s="252"/>
      <c r="CT238" s="252"/>
      <c r="CU238" s="252"/>
      <c r="CV238" s="252"/>
      <c r="CW238" s="252"/>
      <c r="CX238" s="252"/>
      <c r="CY238" s="252"/>
      <c r="CZ238" s="252"/>
      <c r="DA238" s="252"/>
      <c r="DB238" s="252"/>
      <c r="DC238" s="252"/>
      <c r="DD238" s="252"/>
      <c r="DE238" s="252"/>
      <c r="DF238" s="252"/>
      <c r="DG238" s="252"/>
      <c r="DH238" s="252"/>
      <c r="DI238" s="252"/>
      <c r="DJ238" s="252"/>
      <c r="DK238" s="252"/>
      <c r="DL238" s="252"/>
      <c r="DM238" s="252"/>
      <c r="DN238" s="252"/>
      <c r="DO238" s="252"/>
      <c r="DP238" s="252"/>
      <c r="DQ238" s="252"/>
      <c r="DR238" s="252"/>
      <c r="DS238" s="252"/>
      <c r="DT238" s="252"/>
      <c r="DU238" s="252"/>
      <c r="DV238" s="252"/>
      <c r="DW238" s="252"/>
      <c r="DX238" s="252"/>
      <c r="DY238" s="252"/>
      <c r="DZ238" s="252"/>
      <c r="EA238" s="252"/>
      <c r="EB238" s="252"/>
      <c r="EC238" s="252"/>
      <c r="ED238" s="252"/>
      <c r="EE238" s="252"/>
      <c r="EF238" s="252"/>
      <c r="EG238" s="252"/>
      <c r="EH238" s="252"/>
      <c r="EI238" s="252"/>
      <c r="EJ238" s="252"/>
      <c r="EK238" s="252"/>
      <c r="EL238" s="252"/>
      <c r="EM238" s="252"/>
      <c r="EN238" s="252"/>
      <c r="EO238" s="252"/>
      <c r="EP238" s="252"/>
      <c r="EQ238" s="252"/>
      <c r="ER238" s="252"/>
      <c r="ES238" s="252"/>
      <c r="ET238" s="252"/>
      <c r="EU238" s="252"/>
      <c r="EV238" s="252"/>
      <c r="EW238" s="252"/>
      <c r="EX238" s="252"/>
      <c r="EY238" s="252"/>
      <c r="EZ238" s="252"/>
      <c r="FA238" s="252"/>
      <c r="FB238" s="252"/>
      <c r="FC238" s="252"/>
      <c r="FD238" s="252"/>
      <c r="FE238" s="252"/>
      <c r="FF238" s="252"/>
      <c r="FG238" s="252"/>
      <c r="FH238" s="252"/>
      <c r="FI238" s="252"/>
      <c r="FJ238" s="252"/>
      <c r="FK238" s="252"/>
      <c r="FL238" s="252"/>
      <c r="FM238" s="252"/>
      <c r="FN238" s="252"/>
      <c r="FO238" s="252"/>
      <c r="FP238" s="252"/>
      <c r="FQ238" s="252"/>
      <c r="FR238" s="252"/>
      <c r="FS238" s="252"/>
      <c r="FT238" s="252"/>
      <c r="FU238" s="252"/>
      <c r="FV238" s="252"/>
      <c r="FW238" s="252"/>
      <c r="FX238" s="252"/>
      <c r="FY238" s="252"/>
      <c r="FZ238" s="252"/>
      <c r="GA238" s="252"/>
      <c r="GB238" s="252"/>
      <c r="GC238" s="252"/>
      <c r="GD238" s="252"/>
      <c r="GE238" s="252"/>
      <c r="GF238" s="252"/>
      <c r="GG238" s="252"/>
      <c r="GH238" s="252"/>
      <c r="GI238" s="252"/>
      <c r="GJ238" s="252"/>
      <c r="GK238" s="252"/>
      <c r="GL238" s="252"/>
      <c r="GM238" s="252"/>
      <c r="GN238" s="252"/>
      <c r="GO238" s="252"/>
      <c r="GP238" s="252"/>
      <c r="GQ238" s="252"/>
      <c r="GR238" s="252"/>
      <c r="GS238" s="252"/>
      <c r="GT238" s="252"/>
      <c r="GU238" s="252"/>
      <c r="GV238" s="252"/>
      <c r="GW238" s="252"/>
      <c r="GX238" s="252"/>
      <c r="GY238" s="252"/>
      <c r="GZ238" s="252"/>
      <c r="HA238" s="252"/>
      <c r="HB238" s="252"/>
      <c r="HC238" s="252"/>
      <c r="HD238" s="252"/>
      <c r="HE238" s="252"/>
      <c r="HF238" s="252"/>
      <c r="HG238" s="252"/>
      <c r="HH238" s="252"/>
      <c r="HI238" s="252"/>
      <c r="HJ238" s="252"/>
      <c r="HK238" s="252"/>
      <c r="HL238" s="252"/>
      <c r="HM238" s="252"/>
      <c r="HN238" s="252"/>
      <c r="HO238" s="252"/>
      <c r="HP238" s="252"/>
      <c r="HQ238" s="252"/>
      <c r="HR238" s="252"/>
      <c r="HS238" s="252"/>
      <c r="HT238" s="252"/>
      <c r="HU238" s="252"/>
      <c r="HV238" s="252"/>
      <c r="HW238" s="252"/>
      <c r="HX238" s="252"/>
      <c r="HY238" s="252"/>
      <c r="HZ238" s="252"/>
      <c r="IA238" s="252"/>
      <c r="IB238" s="252"/>
      <c r="IC238" s="252"/>
      <c r="ID238" s="252"/>
      <c r="IE238" s="252"/>
      <c r="IF238" s="252"/>
    </row>
    <row r="239" spans="1:240" s="260" customFormat="1" ht="94.5" x14ac:dyDescent="0.25">
      <c r="A239" s="215">
        <f t="shared" si="77"/>
        <v>156</v>
      </c>
      <c r="B239" s="126" t="s">
        <v>594</v>
      </c>
      <c r="C239" s="223" t="s">
        <v>142</v>
      </c>
      <c r="D239" s="243" t="s">
        <v>41</v>
      </c>
      <c r="E239" s="20">
        <v>0.28999999999999998</v>
      </c>
      <c r="F239" s="28"/>
      <c r="G239" s="28">
        <v>0.28999999999999998</v>
      </c>
      <c r="H239" s="222">
        <v>0.02</v>
      </c>
      <c r="I239" s="222">
        <v>0.01</v>
      </c>
      <c r="J239" s="222">
        <v>0</v>
      </c>
      <c r="K239" s="222">
        <v>0.06</v>
      </c>
      <c r="L239" s="222">
        <v>0.06</v>
      </c>
      <c r="M239" s="222"/>
      <c r="N239" s="222"/>
      <c r="O239" s="222"/>
      <c r="P239" s="222"/>
      <c r="Q239" s="222"/>
      <c r="R239" s="222"/>
      <c r="S239" s="222"/>
      <c r="T239" s="222"/>
      <c r="U239" s="238">
        <v>0.03</v>
      </c>
      <c r="V239" s="92">
        <v>0.03</v>
      </c>
      <c r="W239" s="92"/>
      <c r="X239" s="92"/>
      <c r="Y239" s="92"/>
      <c r="Z239" s="92"/>
      <c r="AA239" s="92"/>
      <c r="AB239" s="92"/>
      <c r="AC239" s="92"/>
      <c r="AD239" s="92"/>
      <c r="AE239" s="92"/>
      <c r="AF239" s="92">
        <v>0.02</v>
      </c>
      <c r="AG239" s="92"/>
      <c r="AH239" s="92"/>
      <c r="AI239" s="92"/>
      <c r="AJ239" s="92">
        <v>0.04</v>
      </c>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v>0.05</v>
      </c>
      <c r="BH239" s="63" t="s">
        <v>595</v>
      </c>
      <c r="BI239" s="223" t="s">
        <v>142</v>
      </c>
      <c r="BJ239" s="232" t="s">
        <v>596</v>
      </c>
      <c r="BK239" s="241" t="s">
        <v>120</v>
      </c>
      <c r="BL239" s="218" t="s">
        <v>202</v>
      </c>
      <c r="BM239" s="226" t="s">
        <v>1026</v>
      </c>
      <c r="BN239" s="252"/>
      <c r="BO239" s="252"/>
      <c r="BP239" s="252"/>
      <c r="BQ239" s="252"/>
      <c r="BR239" s="252"/>
      <c r="BS239" s="252"/>
      <c r="BT239" s="252"/>
      <c r="BU239" s="252"/>
      <c r="BV239" s="252"/>
      <c r="BW239" s="252"/>
      <c r="BX239" s="252"/>
      <c r="BY239" s="252"/>
      <c r="BZ239" s="252"/>
      <c r="CA239" s="252"/>
      <c r="CB239" s="252"/>
      <c r="CC239" s="252"/>
      <c r="CD239" s="252"/>
      <c r="CE239" s="252"/>
      <c r="CF239" s="252"/>
      <c r="CG239" s="252"/>
      <c r="CH239" s="252"/>
      <c r="CI239" s="252"/>
      <c r="CJ239" s="252"/>
      <c r="CK239" s="252"/>
      <c r="CL239" s="252"/>
      <c r="CM239" s="252"/>
      <c r="CN239" s="252"/>
      <c r="CO239" s="252"/>
      <c r="CP239" s="252"/>
      <c r="CQ239" s="252"/>
      <c r="CR239" s="252"/>
      <c r="CS239" s="252"/>
      <c r="CT239" s="252"/>
      <c r="CU239" s="252"/>
      <c r="CV239" s="252"/>
      <c r="CW239" s="252"/>
      <c r="CX239" s="252"/>
      <c r="CY239" s="252"/>
      <c r="CZ239" s="252"/>
      <c r="DA239" s="252"/>
      <c r="DB239" s="252"/>
      <c r="DC239" s="252"/>
      <c r="DD239" s="252"/>
      <c r="DE239" s="252"/>
      <c r="DF239" s="252"/>
      <c r="DG239" s="252"/>
      <c r="DH239" s="252"/>
      <c r="DI239" s="252"/>
      <c r="DJ239" s="252"/>
      <c r="DK239" s="252"/>
      <c r="DL239" s="252"/>
      <c r="DM239" s="252"/>
      <c r="DN239" s="252"/>
      <c r="DO239" s="252"/>
      <c r="DP239" s="252"/>
      <c r="DQ239" s="252"/>
      <c r="DR239" s="252"/>
      <c r="DS239" s="252"/>
      <c r="DT239" s="252"/>
      <c r="DU239" s="252"/>
      <c r="DV239" s="252"/>
      <c r="DW239" s="252"/>
      <c r="DX239" s="252"/>
      <c r="DY239" s="252"/>
      <c r="DZ239" s="252"/>
      <c r="EA239" s="252"/>
      <c r="EB239" s="252"/>
      <c r="EC239" s="252"/>
      <c r="ED239" s="252"/>
      <c r="EE239" s="252"/>
      <c r="EF239" s="252"/>
      <c r="EG239" s="252"/>
      <c r="EH239" s="252"/>
      <c r="EI239" s="252"/>
      <c r="EJ239" s="252"/>
      <c r="EK239" s="252"/>
      <c r="EL239" s="252"/>
      <c r="EM239" s="252"/>
      <c r="EN239" s="252"/>
      <c r="EO239" s="252"/>
      <c r="EP239" s="252"/>
      <c r="EQ239" s="252"/>
      <c r="ER239" s="252"/>
      <c r="ES239" s="252"/>
      <c r="ET239" s="252"/>
      <c r="EU239" s="252"/>
      <c r="EV239" s="252"/>
      <c r="EW239" s="252"/>
      <c r="EX239" s="252"/>
      <c r="EY239" s="252"/>
      <c r="EZ239" s="252"/>
      <c r="FA239" s="252"/>
      <c r="FB239" s="252"/>
      <c r="FC239" s="252"/>
      <c r="FD239" s="252"/>
      <c r="FE239" s="252"/>
      <c r="FF239" s="252"/>
      <c r="FG239" s="252"/>
      <c r="FH239" s="252"/>
      <c r="FI239" s="252"/>
      <c r="FJ239" s="252"/>
      <c r="FK239" s="252"/>
      <c r="FL239" s="252"/>
      <c r="FM239" s="252"/>
      <c r="FN239" s="252"/>
      <c r="FO239" s="252"/>
      <c r="FP239" s="252"/>
      <c r="FQ239" s="252"/>
      <c r="FR239" s="252"/>
      <c r="FS239" s="252"/>
      <c r="FT239" s="252"/>
      <c r="FU239" s="252"/>
      <c r="FV239" s="252"/>
      <c r="FW239" s="252"/>
      <c r="FX239" s="252"/>
      <c r="FY239" s="252"/>
      <c r="FZ239" s="252"/>
      <c r="GA239" s="252"/>
      <c r="GB239" s="252"/>
      <c r="GC239" s="252"/>
      <c r="GD239" s="252"/>
      <c r="GE239" s="252"/>
      <c r="GF239" s="252"/>
      <c r="GG239" s="252"/>
      <c r="GH239" s="252"/>
      <c r="GI239" s="252"/>
      <c r="GJ239" s="252"/>
      <c r="GK239" s="252"/>
      <c r="GL239" s="252"/>
      <c r="GM239" s="252"/>
      <c r="GN239" s="252"/>
      <c r="GO239" s="252"/>
      <c r="GP239" s="252"/>
      <c r="GQ239" s="252"/>
      <c r="GR239" s="252"/>
      <c r="GS239" s="252"/>
      <c r="GT239" s="252"/>
      <c r="GU239" s="252"/>
      <c r="GV239" s="252"/>
      <c r="GW239" s="252"/>
      <c r="GX239" s="252"/>
      <c r="GY239" s="252"/>
      <c r="GZ239" s="252"/>
      <c r="HA239" s="252"/>
      <c r="HB239" s="252"/>
      <c r="HC239" s="252"/>
      <c r="HD239" s="252"/>
      <c r="HE239" s="252"/>
      <c r="HF239" s="252"/>
      <c r="HG239" s="252"/>
      <c r="HH239" s="252"/>
      <c r="HI239" s="252"/>
      <c r="HJ239" s="252"/>
      <c r="HK239" s="252"/>
      <c r="HL239" s="252"/>
      <c r="HM239" s="252"/>
      <c r="HN239" s="252"/>
      <c r="HO239" s="252"/>
      <c r="HP239" s="252"/>
      <c r="HQ239" s="252"/>
      <c r="HR239" s="252"/>
      <c r="HS239" s="252"/>
      <c r="HT239" s="252"/>
      <c r="HU239" s="252"/>
      <c r="HV239" s="252"/>
      <c r="HW239" s="252"/>
      <c r="HX239" s="252"/>
      <c r="HY239" s="252"/>
      <c r="HZ239" s="252"/>
      <c r="IA239" s="252"/>
      <c r="IB239" s="252"/>
      <c r="IC239" s="252"/>
      <c r="ID239" s="252"/>
      <c r="IE239" s="252"/>
      <c r="IF239" s="252"/>
    </row>
    <row r="240" spans="1:240" s="260" customFormat="1" ht="94.5" x14ac:dyDescent="0.25">
      <c r="A240" s="215">
        <f t="shared" si="77"/>
        <v>157</v>
      </c>
      <c r="B240" s="126" t="s">
        <v>597</v>
      </c>
      <c r="C240" s="223" t="s">
        <v>91</v>
      </c>
      <c r="D240" s="243" t="s">
        <v>41</v>
      </c>
      <c r="E240" s="20">
        <v>0.19</v>
      </c>
      <c r="F240" s="28"/>
      <c r="G240" s="28">
        <v>0.19</v>
      </c>
      <c r="H240" s="222">
        <v>0.09</v>
      </c>
      <c r="I240" s="222">
        <v>0.02</v>
      </c>
      <c r="J240" s="222"/>
      <c r="K240" s="222"/>
      <c r="L240" s="222"/>
      <c r="M240" s="222"/>
      <c r="N240" s="222"/>
      <c r="O240" s="222"/>
      <c r="P240" s="222"/>
      <c r="Q240" s="222"/>
      <c r="R240" s="222"/>
      <c r="S240" s="222"/>
      <c r="T240" s="222"/>
      <c r="U240" s="238"/>
      <c r="V240" s="92"/>
      <c r="W240" s="92"/>
      <c r="X240" s="92"/>
      <c r="Y240" s="92"/>
      <c r="Z240" s="92"/>
      <c r="AA240" s="92"/>
      <c r="AB240" s="92"/>
      <c r="AC240" s="92"/>
      <c r="AD240" s="92"/>
      <c r="AE240" s="92"/>
      <c r="AF240" s="92"/>
      <c r="AG240" s="92"/>
      <c r="AH240" s="92"/>
      <c r="AI240" s="92"/>
      <c r="AJ240" s="92"/>
      <c r="AK240" s="92"/>
      <c r="AL240" s="92">
        <v>0.05</v>
      </c>
      <c r="AM240" s="92"/>
      <c r="AN240" s="92"/>
      <c r="AO240" s="92"/>
      <c r="AP240" s="92"/>
      <c r="AQ240" s="92"/>
      <c r="AR240" s="92"/>
      <c r="AS240" s="92"/>
      <c r="AT240" s="92"/>
      <c r="AU240" s="92"/>
      <c r="AV240" s="92"/>
      <c r="AW240" s="92"/>
      <c r="AX240" s="92"/>
      <c r="AY240" s="92"/>
      <c r="AZ240" s="92"/>
      <c r="BA240" s="92"/>
      <c r="BB240" s="92"/>
      <c r="BC240" s="92"/>
      <c r="BD240" s="92"/>
      <c r="BE240" s="92"/>
      <c r="BF240" s="92"/>
      <c r="BG240" s="92">
        <v>0.03</v>
      </c>
      <c r="BH240" s="232" t="s">
        <v>598</v>
      </c>
      <c r="BI240" s="223" t="s">
        <v>91</v>
      </c>
      <c r="BJ240" s="232" t="s">
        <v>599</v>
      </c>
      <c r="BK240" s="241" t="s">
        <v>120</v>
      </c>
      <c r="BL240" s="218" t="s">
        <v>202</v>
      </c>
      <c r="BM240" s="226" t="s">
        <v>1072</v>
      </c>
      <c r="BN240" s="252"/>
      <c r="BO240" s="252"/>
      <c r="BP240" s="252"/>
      <c r="BQ240" s="252"/>
      <c r="BR240" s="252"/>
      <c r="BS240" s="252"/>
      <c r="BT240" s="252"/>
      <c r="BU240" s="252"/>
      <c r="BV240" s="252"/>
      <c r="BW240" s="252"/>
      <c r="BX240" s="252"/>
      <c r="BY240" s="252"/>
      <c r="BZ240" s="252"/>
      <c r="CA240" s="252"/>
      <c r="CB240" s="252"/>
      <c r="CC240" s="252"/>
      <c r="CD240" s="252"/>
      <c r="CE240" s="252"/>
      <c r="CF240" s="252"/>
      <c r="CG240" s="252"/>
      <c r="CH240" s="252"/>
      <c r="CI240" s="252"/>
      <c r="CJ240" s="252"/>
      <c r="CK240" s="252"/>
      <c r="CL240" s="252"/>
      <c r="CM240" s="252"/>
      <c r="CN240" s="252"/>
      <c r="CO240" s="252"/>
      <c r="CP240" s="252"/>
      <c r="CQ240" s="252"/>
      <c r="CR240" s="252"/>
      <c r="CS240" s="252"/>
      <c r="CT240" s="252"/>
      <c r="CU240" s="252"/>
      <c r="CV240" s="252"/>
      <c r="CW240" s="252"/>
      <c r="CX240" s="252"/>
      <c r="CY240" s="252"/>
      <c r="CZ240" s="252"/>
      <c r="DA240" s="252"/>
      <c r="DB240" s="252"/>
      <c r="DC240" s="252"/>
      <c r="DD240" s="252"/>
      <c r="DE240" s="252"/>
      <c r="DF240" s="252"/>
      <c r="DG240" s="252"/>
      <c r="DH240" s="252"/>
      <c r="DI240" s="252"/>
      <c r="DJ240" s="252"/>
      <c r="DK240" s="252"/>
      <c r="DL240" s="252"/>
      <c r="DM240" s="252"/>
      <c r="DN240" s="252"/>
      <c r="DO240" s="252"/>
      <c r="DP240" s="252"/>
      <c r="DQ240" s="252"/>
      <c r="DR240" s="252"/>
      <c r="DS240" s="252"/>
      <c r="DT240" s="252"/>
      <c r="DU240" s="252"/>
      <c r="DV240" s="252"/>
      <c r="DW240" s="252"/>
      <c r="DX240" s="252"/>
      <c r="DY240" s="252"/>
      <c r="DZ240" s="252"/>
      <c r="EA240" s="252"/>
      <c r="EB240" s="252"/>
      <c r="EC240" s="252"/>
      <c r="ED240" s="252"/>
      <c r="EE240" s="252"/>
      <c r="EF240" s="252"/>
      <c r="EG240" s="252"/>
      <c r="EH240" s="252"/>
      <c r="EI240" s="252"/>
      <c r="EJ240" s="252"/>
      <c r="EK240" s="252"/>
      <c r="EL240" s="252"/>
      <c r="EM240" s="252"/>
      <c r="EN240" s="252"/>
      <c r="EO240" s="252"/>
      <c r="EP240" s="252"/>
      <c r="EQ240" s="252"/>
      <c r="ER240" s="252"/>
      <c r="ES240" s="252"/>
      <c r="ET240" s="252"/>
      <c r="EU240" s="252"/>
      <c r="EV240" s="252"/>
      <c r="EW240" s="252"/>
      <c r="EX240" s="252"/>
      <c r="EY240" s="252"/>
      <c r="EZ240" s="252"/>
      <c r="FA240" s="252"/>
      <c r="FB240" s="252"/>
      <c r="FC240" s="252"/>
      <c r="FD240" s="252"/>
      <c r="FE240" s="252"/>
      <c r="FF240" s="252"/>
      <c r="FG240" s="252"/>
      <c r="FH240" s="252"/>
      <c r="FI240" s="252"/>
      <c r="FJ240" s="252"/>
      <c r="FK240" s="252"/>
      <c r="FL240" s="252"/>
      <c r="FM240" s="252"/>
      <c r="FN240" s="252"/>
      <c r="FO240" s="252"/>
      <c r="FP240" s="252"/>
      <c r="FQ240" s="252"/>
      <c r="FR240" s="252"/>
      <c r="FS240" s="252"/>
      <c r="FT240" s="252"/>
      <c r="FU240" s="252"/>
      <c r="FV240" s="252"/>
      <c r="FW240" s="252"/>
      <c r="FX240" s="252"/>
      <c r="FY240" s="252"/>
      <c r="FZ240" s="252"/>
      <c r="GA240" s="252"/>
      <c r="GB240" s="252"/>
      <c r="GC240" s="252"/>
      <c r="GD240" s="252"/>
      <c r="GE240" s="252"/>
      <c r="GF240" s="252"/>
      <c r="GG240" s="252"/>
      <c r="GH240" s="252"/>
      <c r="GI240" s="252"/>
      <c r="GJ240" s="252"/>
      <c r="GK240" s="252"/>
      <c r="GL240" s="252"/>
      <c r="GM240" s="252"/>
      <c r="GN240" s="252"/>
      <c r="GO240" s="252"/>
      <c r="GP240" s="252"/>
      <c r="GQ240" s="252"/>
      <c r="GR240" s="252"/>
      <c r="GS240" s="252"/>
      <c r="GT240" s="252"/>
      <c r="GU240" s="252"/>
      <c r="GV240" s="252"/>
      <c r="GW240" s="252"/>
      <c r="GX240" s="252"/>
      <c r="GY240" s="252"/>
      <c r="GZ240" s="252"/>
      <c r="HA240" s="252"/>
      <c r="HB240" s="252"/>
      <c r="HC240" s="252"/>
      <c r="HD240" s="252"/>
      <c r="HE240" s="252"/>
      <c r="HF240" s="252"/>
      <c r="HG240" s="252"/>
      <c r="HH240" s="252"/>
      <c r="HI240" s="252"/>
      <c r="HJ240" s="252"/>
      <c r="HK240" s="252"/>
      <c r="HL240" s="252"/>
      <c r="HM240" s="252"/>
      <c r="HN240" s="252"/>
      <c r="HO240" s="252"/>
      <c r="HP240" s="252"/>
      <c r="HQ240" s="252"/>
      <c r="HR240" s="252"/>
      <c r="HS240" s="252"/>
      <c r="HT240" s="252"/>
      <c r="HU240" s="252"/>
      <c r="HV240" s="252"/>
      <c r="HW240" s="252"/>
      <c r="HX240" s="252"/>
      <c r="HY240" s="252"/>
      <c r="HZ240" s="252"/>
      <c r="IA240" s="252"/>
      <c r="IB240" s="252"/>
      <c r="IC240" s="252"/>
      <c r="ID240" s="252"/>
      <c r="IE240" s="252"/>
      <c r="IF240" s="252"/>
    </row>
    <row r="241" spans="1:240" s="260" customFormat="1" ht="63" x14ac:dyDescent="0.25">
      <c r="A241" s="215">
        <f t="shared" si="77"/>
        <v>158</v>
      </c>
      <c r="B241" s="126" t="s">
        <v>600</v>
      </c>
      <c r="C241" s="223" t="s">
        <v>95</v>
      </c>
      <c r="D241" s="243" t="s">
        <v>41</v>
      </c>
      <c r="E241" s="20">
        <v>0.15000000000000002</v>
      </c>
      <c r="F241" s="28"/>
      <c r="G241" s="28">
        <v>0.15000000000000002</v>
      </c>
      <c r="H241" s="222">
        <v>0</v>
      </c>
      <c r="I241" s="222">
        <v>0</v>
      </c>
      <c r="J241" s="222">
        <v>0</v>
      </c>
      <c r="K241" s="222">
        <v>0.03</v>
      </c>
      <c r="L241" s="222">
        <v>0</v>
      </c>
      <c r="M241" s="222">
        <v>0</v>
      </c>
      <c r="N241" s="222">
        <v>0</v>
      </c>
      <c r="O241" s="222">
        <v>0</v>
      </c>
      <c r="P241" s="222">
        <v>0</v>
      </c>
      <c r="Q241" s="222">
        <v>0</v>
      </c>
      <c r="R241" s="222">
        <v>0</v>
      </c>
      <c r="S241" s="222">
        <v>0</v>
      </c>
      <c r="T241" s="222">
        <v>0</v>
      </c>
      <c r="U241" s="238">
        <v>0.02</v>
      </c>
      <c r="V241" s="92">
        <v>0.02</v>
      </c>
      <c r="W241" s="92"/>
      <c r="X241" s="92">
        <v>0</v>
      </c>
      <c r="Y241" s="92">
        <v>0</v>
      </c>
      <c r="Z241" s="92">
        <v>0</v>
      </c>
      <c r="AA241" s="92">
        <v>0</v>
      </c>
      <c r="AB241" s="92">
        <v>0</v>
      </c>
      <c r="AC241" s="92">
        <v>0</v>
      </c>
      <c r="AD241" s="92">
        <v>0</v>
      </c>
      <c r="AE241" s="92">
        <v>0</v>
      </c>
      <c r="AF241" s="92">
        <v>0</v>
      </c>
      <c r="AG241" s="92">
        <v>0</v>
      </c>
      <c r="AH241" s="92">
        <v>0</v>
      </c>
      <c r="AI241" s="92">
        <v>0</v>
      </c>
      <c r="AJ241" s="92">
        <v>0</v>
      </c>
      <c r="AK241" s="92">
        <v>0</v>
      </c>
      <c r="AL241" s="92">
        <v>0.02</v>
      </c>
      <c r="AM241" s="92">
        <v>0</v>
      </c>
      <c r="AN241" s="92">
        <v>0</v>
      </c>
      <c r="AO241" s="92">
        <v>0</v>
      </c>
      <c r="AP241" s="92">
        <v>0</v>
      </c>
      <c r="AQ241" s="92">
        <v>0</v>
      </c>
      <c r="AR241" s="92">
        <v>0</v>
      </c>
      <c r="AS241" s="92">
        <v>0</v>
      </c>
      <c r="AT241" s="92">
        <v>0</v>
      </c>
      <c r="AU241" s="92">
        <v>0</v>
      </c>
      <c r="AV241" s="92">
        <v>0</v>
      </c>
      <c r="AW241" s="92">
        <v>0</v>
      </c>
      <c r="AX241" s="92">
        <v>0</v>
      </c>
      <c r="AY241" s="92">
        <v>0</v>
      </c>
      <c r="AZ241" s="92">
        <v>0</v>
      </c>
      <c r="BA241" s="92">
        <v>0</v>
      </c>
      <c r="BB241" s="92">
        <v>0</v>
      </c>
      <c r="BC241" s="92">
        <v>0</v>
      </c>
      <c r="BD241" s="92">
        <v>0</v>
      </c>
      <c r="BE241" s="92">
        <v>0</v>
      </c>
      <c r="BF241" s="92">
        <v>0</v>
      </c>
      <c r="BG241" s="92">
        <v>0.08</v>
      </c>
      <c r="BH241" s="63" t="s">
        <v>601</v>
      </c>
      <c r="BI241" s="223" t="s">
        <v>95</v>
      </c>
      <c r="BJ241" s="232" t="s">
        <v>602</v>
      </c>
      <c r="BK241" s="241" t="s">
        <v>415</v>
      </c>
      <c r="BL241" s="218" t="s">
        <v>202</v>
      </c>
      <c r="BM241" s="226" t="s">
        <v>206</v>
      </c>
      <c r="BN241" s="252"/>
      <c r="BO241" s="252"/>
      <c r="BP241" s="252"/>
      <c r="BQ241" s="252"/>
      <c r="BR241" s="252"/>
      <c r="BS241" s="252"/>
      <c r="BT241" s="252"/>
      <c r="BU241" s="252"/>
      <c r="BV241" s="252"/>
      <c r="BW241" s="252"/>
      <c r="BX241" s="252"/>
      <c r="BY241" s="252"/>
      <c r="BZ241" s="252"/>
      <c r="CA241" s="252"/>
      <c r="CB241" s="252"/>
      <c r="CC241" s="252"/>
      <c r="CD241" s="252"/>
      <c r="CE241" s="252"/>
      <c r="CF241" s="252"/>
      <c r="CG241" s="252"/>
      <c r="CH241" s="252"/>
      <c r="CI241" s="252"/>
      <c r="CJ241" s="252"/>
      <c r="CK241" s="252"/>
      <c r="CL241" s="252"/>
      <c r="CM241" s="252"/>
      <c r="CN241" s="252"/>
      <c r="CO241" s="252"/>
      <c r="CP241" s="252"/>
      <c r="CQ241" s="252"/>
      <c r="CR241" s="252"/>
      <c r="CS241" s="252"/>
      <c r="CT241" s="252"/>
      <c r="CU241" s="252"/>
      <c r="CV241" s="252"/>
      <c r="CW241" s="252"/>
      <c r="CX241" s="252"/>
      <c r="CY241" s="252"/>
      <c r="CZ241" s="252"/>
      <c r="DA241" s="252"/>
      <c r="DB241" s="252"/>
      <c r="DC241" s="252"/>
      <c r="DD241" s="252"/>
      <c r="DE241" s="252"/>
      <c r="DF241" s="252"/>
      <c r="DG241" s="252"/>
      <c r="DH241" s="252"/>
      <c r="DI241" s="252"/>
      <c r="DJ241" s="252"/>
      <c r="DK241" s="252"/>
      <c r="DL241" s="252"/>
      <c r="DM241" s="252"/>
      <c r="DN241" s="252"/>
      <c r="DO241" s="252"/>
      <c r="DP241" s="252"/>
      <c r="DQ241" s="252"/>
      <c r="DR241" s="252"/>
      <c r="DS241" s="252"/>
      <c r="DT241" s="252"/>
      <c r="DU241" s="252"/>
      <c r="DV241" s="252"/>
      <c r="DW241" s="252"/>
      <c r="DX241" s="252"/>
      <c r="DY241" s="252"/>
      <c r="DZ241" s="252"/>
      <c r="EA241" s="252"/>
      <c r="EB241" s="252"/>
      <c r="EC241" s="252"/>
      <c r="ED241" s="252"/>
      <c r="EE241" s="252"/>
      <c r="EF241" s="252"/>
      <c r="EG241" s="252"/>
      <c r="EH241" s="252"/>
      <c r="EI241" s="252"/>
      <c r="EJ241" s="252"/>
      <c r="EK241" s="252"/>
      <c r="EL241" s="252"/>
      <c r="EM241" s="252"/>
      <c r="EN241" s="252"/>
      <c r="EO241" s="252"/>
      <c r="EP241" s="252"/>
      <c r="EQ241" s="252"/>
      <c r="ER241" s="252"/>
      <c r="ES241" s="252"/>
      <c r="ET241" s="252"/>
      <c r="EU241" s="252"/>
      <c r="EV241" s="252"/>
      <c r="EW241" s="252"/>
      <c r="EX241" s="252"/>
      <c r="EY241" s="252"/>
      <c r="EZ241" s="252"/>
      <c r="FA241" s="252"/>
      <c r="FB241" s="252"/>
      <c r="FC241" s="252"/>
      <c r="FD241" s="252"/>
      <c r="FE241" s="252"/>
      <c r="FF241" s="252"/>
      <c r="FG241" s="252"/>
      <c r="FH241" s="252"/>
      <c r="FI241" s="252"/>
      <c r="FJ241" s="252"/>
      <c r="FK241" s="252"/>
      <c r="FL241" s="252"/>
      <c r="FM241" s="252"/>
      <c r="FN241" s="252"/>
      <c r="FO241" s="252"/>
      <c r="FP241" s="252"/>
      <c r="FQ241" s="252"/>
      <c r="FR241" s="252"/>
      <c r="FS241" s="252"/>
      <c r="FT241" s="252"/>
      <c r="FU241" s="252"/>
      <c r="FV241" s="252"/>
      <c r="FW241" s="252"/>
      <c r="FX241" s="252"/>
      <c r="FY241" s="252"/>
      <c r="FZ241" s="252"/>
      <c r="GA241" s="252"/>
      <c r="GB241" s="252"/>
      <c r="GC241" s="252"/>
      <c r="GD241" s="252"/>
      <c r="GE241" s="252"/>
      <c r="GF241" s="252"/>
      <c r="GG241" s="252"/>
      <c r="GH241" s="252"/>
      <c r="GI241" s="252"/>
      <c r="GJ241" s="252"/>
      <c r="GK241" s="252"/>
      <c r="GL241" s="252"/>
      <c r="GM241" s="252"/>
      <c r="GN241" s="252"/>
      <c r="GO241" s="252"/>
      <c r="GP241" s="252"/>
      <c r="GQ241" s="252"/>
      <c r="GR241" s="252"/>
      <c r="GS241" s="252"/>
      <c r="GT241" s="252"/>
      <c r="GU241" s="252"/>
      <c r="GV241" s="252"/>
      <c r="GW241" s="252"/>
      <c r="GX241" s="252"/>
      <c r="GY241" s="252"/>
      <c r="GZ241" s="252"/>
      <c r="HA241" s="252"/>
      <c r="HB241" s="252"/>
      <c r="HC241" s="252"/>
      <c r="HD241" s="252"/>
      <c r="HE241" s="252"/>
      <c r="HF241" s="252"/>
      <c r="HG241" s="252"/>
      <c r="HH241" s="252"/>
      <c r="HI241" s="252"/>
      <c r="HJ241" s="252"/>
      <c r="HK241" s="252"/>
      <c r="HL241" s="252"/>
      <c r="HM241" s="252"/>
      <c r="HN241" s="252"/>
      <c r="HO241" s="252"/>
      <c r="HP241" s="252"/>
      <c r="HQ241" s="252"/>
      <c r="HR241" s="252"/>
      <c r="HS241" s="252"/>
      <c r="HT241" s="252"/>
      <c r="HU241" s="252"/>
      <c r="HV241" s="252"/>
      <c r="HW241" s="252"/>
      <c r="HX241" s="252"/>
      <c r="HY241" s="252"/>
      <c r="HZ241" s="252"/>
      <c r="IA241" s="252"/>
      <c r="IB241" s="252"/>
      <c r="IC241" s="252"/>
      <c r="ID241" s="252"/>
      <c r="IE241" s="252"/>
      <c r="IF241" s="252"/>
    </row>
    <row r="242" spans="1:240" s="260" customFormat="1" ht="78.75" x14ac:dyDescent="0.25">
      <c r="A242" s="215">
        <f t="shared" si="77"/>
        <v>159</v>
      </c>
      <c r="B242" s="126" t="s">
        <v>603</v>
      </c>
      <c r="C242" s="223" t="s">
        <v>150</v>
      </c>
      <c r="D242" s="243" t="s">
        <v>41</v>
      </c>
      <c r="E242" s="20">
        <v>0.14000000000000001</v>
      </c>
      <c r="F242" s="28"/>
      <c r="G242" s="28">
        <v>0.14000000000000001</v>
      </c>
      <c r="H242" s="222"/>
      <c r="I242" s="222"/>
      <c r="J242" s="222"/>
      <c r="K242" s="222">
        <v>0.02</v>
      </c>
      <c r="L242" s="222">
        <v>0.02</v>
      </c>
      <c r="M242" s="222"/>
      <c r="N242" s="222"/>
      <c r="O242" s="222"/>
      <c r="P242" s="222"/>
      <c r="Q242" s="222"/>
      <c r="R242" s="222"/>
      <c r="S242" s="222"/>
      <c r="T242" s="222"/>
      <c r="U242" s="238">
        <v>0.01</v>
      </c>
      <c r="V242" s="92">
        <v>0.01</v>
      </c>
      <c r="W242" s="92"/>
      <c r="X242" s="92"/>
      <c r="Y242" s="92">
        <v>0.02</v>
      </c>
      <c r="Z242" s="92"/>
      <c r="AA242" s="92"/>
      <c r="AB242" s="92"/>
      <c r="AC242" s="92"/>
      <c r="AD242" s="92"/>
      <c r="AE242" s="92"/>
      <c r="AF242" s="92"/>
      <c r="AG242" s="92"/>
      <c r="AH242" s="92"/>
      <c r="AI242" s="92"/>
      <c r="AJ242" s="92"/>
      <c r="AK242" s="92"/>
      <c r="AL242" s="92">
        <v>0.02</v>
      </c>
      <c r="AM242" s="92"/>
      <c r="AN242" s="92"/>
      <c r="AO242" s="92"/>
      <c r="AP242" s="92"/>
      <c r="AQ242" s="92"/>
      <c r="AR242" s="92"/>
      <c r="AS242" s="92"/>
      <c r="AT242" s="92">
        <v>0.01</v>
      </c>
      <c r="AU242" s="92"/>
      <c r="AV242" s="92"/>
      <c r="AW242" s="92"/>
      <c r="AX242" s="92"/>
      <c r="AY242" s="92"/>
      <c r="AZ242" s="92"/>
      <c r="BA242" s="92"/>
      <c r="BB242" s="92"/>
      <c r="BC242" s="92">
        <v>0.02</v>
      </c>
      <c r="BD242" s="92"/>
      <c r="BE242" s="92"/>
      <c r="BF242" s="92"/>
      <c r="BG242" s="92">
        <v>0.02</v>
      </c>
      <c r="BH242" s="63" t="s">
        <v>1020</v>
      </c>
      <c r="BI242" s="223" t="s">
        <v>150</v>
      </c>
      <c r="BJ242" s="232" t="s">
        <v>1021</v>
      </c>
      <c r="BK242" s="241" t="s">
        <v>120</v>
      </c>
      <c r="BL242" s="218" t="s">
        <v>202</v>
      </c>
      <c r="BM242" s="226" t="s">
        <v>1026</v>
      </c>
      <c r="BN242" s="252"/>
      <c r="BO242" s="252"/>
      <c r="BP242" s="252"/>
      <c r="BQ242" s="252"/>
      <c r="BR242" s="252"/>
      <c r="BS242" s="252"/>
      <c r="BT242" s="252"/>
      <c r="BU242" s="252"/>
      <c r="BV242" s="252"/>
      <c r="BW242" s="252"/>
      <c r="BX242" s="252"/>
      <c r="BY242" s="252"/>
      <c r="BZ242" s="252"/>
      <c r="CA242" s="252"/>
      <c r="CB242" s="252"/>
      <c r="CC242" s="252"/>
      <c r="CD242" s="252"/>
      <c r="CE242" s="252"/>
      <c r="CF242" s="252"/>
      <c r="CG242" s="252"/>
      <c r="CH242" s="252"/>
      <c r="CI242" s="252"/>
      <c r="CJ242" s="252"/>
      <c r="CK242" s="252"/>
      <c r="CL242" s="252"/>
      <c r="CM242" s="252"/>
      <c r="CN242" s="252"/>
      <c r="CO242" s="252"/>
      <c r="CP242" s="252"/>
      <c r="CQ242" s="252"/>
      <c r="CR242" s="252"/>
      <c r="CS242" s="252"/>
      <c r="CT242" s="252"/>
      <c r="CU242" s="252"/>
      <c r="CV242" s="252"/>
      <c r="CW242" s="252"/>
      <c r="CX242" s="252"/>
      <c r="CY242" s="252"/>
      <c r="CZ242" s="252"/>
      <c r="DA242" s="252"/>
      <c r="DB242" s="252"/>
      <c r="DC242" s="252"/>
      <c r="DD242" s="252"/>
      <c r="DE242" s="252"/>
      <c r="DF242" s="252"/>
      <c r="DG242" s="252"/>
      <c r="DH242" s="252"/>
      <c r="DI242" s="252"/>
      <c r="DJ242" s="252"/>
      <c r="DK242" s="252"/>
      <c r="DL242" s="252"/>
      <c r="DM242" s="252"/>
      <c r="DN242" s="252"/>
      <c r="DO242" s="252"/>
      <c r="DP242" s="252"/>
      <c r="DQ242" s="252"/>
      <c r="DR242" s="252"/>
      <c r="DS242" s="252"/>
      <c r="DT242" s="252"/>
      <c r="DU242" s="252"/>
      <c r="DV242" s="252"/>
      <c r="DW242" s="252"/>
      <c r="DX242" s="252"/>
      <c r="DY242" s="252"/>
      <c r="DZ242" s="252"/>
      <c r="EA242" s="252"/>
      <c r="EB242" s="252"/>
      <c r="EC242" s="252"/>
      <c r="ED242" s="252"/>
      <c r="EE242" s="252"/>
      <c r="EF242" s="252"/>
      <c r="EG242" s="252"/>
      <c r="EH242" s="252"/>
      <c r="EI242" s="252"/>
      <c r="EJ242" s="252"/>
      <c r="EK242" s="252"/>
      <c r="EL242" s="252"/>
      <c r="EM242" s="252"/>
      <c r="EN242" s="252"/>
      <c r="EO242" s="252"/>
      <c r="EP242" s="252"/>
      <c r="EQ242" s="252"/>
      <c r="ER242" s="252"/>
      <c r="ES242" s="252"/>
      <c r="ET242" s="252"/>
      <c r="EU242" s="252"/>
      <c r="EV242" s="252"/>
      <c r="EW242" s="252"/>
      <c r="EX242" s="252"/>
      <c r="EY242" s="252"/>
      <c r="EZ242" s="252"/>
      <c r="FA242" s="252"/>
      <c r="FB242" s="252"/>
      <c r="FC242" s="252"/>
      <c r="FD242" s="252"/>
      <c r="FE242" s="252"/>
      <c r="FF242" s="252"/>
      <c r="FG242" s="252"/>
      <c r="FH242" s="252"/>
      <c r="FI242" s="252"/>
      <c r="FJ242" s="252"/>
      <c r="FK242" s="252"/>
      <c r="FL242" s="252"/>
      <c r="FM242" s="252"/>
      <c r="FN242" s="252"/>
      <c r="FO242" s="252"/>
      <c r="FP242" s="252"/>
      <c r="FQ242" s="252"/>
      <c r="FR242" s="252"/>
      <c r="FS242" s="252"/>
      <c r="FT242" s="252"/>
      <c r="FU242" s="252"/>
      <c r="FV242" s="252"/>
      <c r="FW242" s="252"/>
      <c r="FX242" s="252"/>
      <c r="FY242" s="252"/>
      <c r="FZ242" s="252"/>
      <c r="GA242" s="252"/>
      <c r="GB242" s="252"/>
      <c r="GC242" s="252"/>
      <c r="GD242" s="252"/>
      <c r="GE242" s="252"/>
      <c r="GF242" s="252"/>
      <c r="GG242" s="252"/>
      <c r="GH242" s="252"/>
      <c r="GI242" s="252"/>
      <c r="GJ242" s="252"/>
      <c r="GK242" s="252"/>
      <c r="GL242" s="252"/>
      <c r="GM242" s="252"/>
      <c r="GN242" s="252"/>
      <c r="GO242" s="252"/>
      <c r="GP242" s="252"/>
      <c r="GQ242" s="252"/>
      <c r="GR242" s="252"/>
      <c r="GS242" s="252"/>
      <c r="GT242" s="252"/>
      <c r="GU242" s="252"/>
      <c r="GV242" s="252"/>
      <c r="GW242" s="252"/>
      <c r="GX242" s="252"/>
      <c r="GY242" s="252"/>
      <c r="GZ242" s="252"/>
      <c r="HA242" s="252"/>
      <c r="HB242" s="252"/>
      <c r="HC242" s="252"/>
      <c r="HD242" s="252"/>
      <c r="HE242" s="252"/>
      <c r="HF242" s="252"/>
      <c r="HG242" s="252"/>
      <c r="HH242" s="252"/>
      <c r="HI242" s="252"/>
      <c r="HJ242" s="252"/>
      <c r="HK242" s="252"/>
      <c r="HL242" s="252"/>
      <c r="HM242" s="252"/>
      <c r="HN242" s="252"/>
      <c r="HO242" s="252"/>
      <c r="HP242" s="252"/>
      <c r="HQ242" s="252"/>
      <c r="HR242" s="252"/>
      <c r="HS242" s="252"/>
      <c r="HT242" s="252"/>
      <c r="HU242" s="252"/>
      <c r="HV242" s="252"/>
      <c r="HW242" s="252"/>
      <c r="HX242" s="252"/>
      <c r="HY242" s="252"/>
      <c r="HZ242" s="252"/>
      <c r="IA242" s="252"/>
      <c r="IB242" s="252"/>
      <c r="IC242" s="252"/>
      <c r="ID242" s="252"/>
      <c r="IE242" s="252"/>
      <c r="IF242" s="252"/>
    </row>
    <row r="243" spans="1:240" s="260" customFormat="1" ht="78.75" x14ac:dyDescent="0.25">
      <c r="A243" s="215">
        <f t="shared" si="77"/>
        <v>160</v>
      </c>
      <c r="B243" s="126" t="s">
        <v>604</v>
      </c>
      <c r="C243" s="223" t="s">
        <v>158</v>
      </c>
      <c r="D243" s="243" t="s">
        <v>41</v>
      </c>
      <c r="E243" s="20">
        <v>0.16999999999999998</v>
      </c>
      <c r="F243" s="28"/>
      <c r="G243" s="28">
        <v>0.16999999999999998</v>
      </c>
      <c r="H243" s="222">
        <v>0.06</v>
      </c>
      <c r="I243" s="222">
        <v>0.05</v>
      </c>
      <c r="J243" s="222"/>
      <c r="K243" s="222">
        <v>0.04</v>
      </c>
      <c r="L243" s="222"/>
      <c r="M243" s="222"/>
      <c r="N243" s="222"/>
      <c r="O243" s="222"/>
      <c r="P243" s="222"/>
      <c r="Q243" s="222"/>
      <c r="R243" s="222"/>
      <c r="S243" s="222"/>
      <c r="T243" s="222"/>
      <c r="U243" s="238">
        <v>0</v>
      </c>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v>0.02</v>
      </c>
      <c r="BH243" s="63" t="s">
        <v>605</v>
      </c>
      <c r="BI243" s="223" t="s">
        <v>158</v>
      </c>
      <c r="BJ243" s="232" t="s">
        <v>606</v>
      </c>
      <c r="BK243" s="241" t="s">
        <v>120</v>
      </c>
      <c r="BL243" s="218" t="s">
        <v>202</v>
      </c>
      <c r="BM243" s="226" t="s">
        <v>206</v>
      </c>
      <c r="BN243" s="252"/>
      <c r="BO243" s="252"/>
      <c r="BP243" s="252"/>
      <c r="BQ243" s="252"/>
      <c r="BR243" s="252"/>
      <c r="BS243" s="252"/>
      <c r="BT243" s="252"/>
      <c r="BU243" s="252"/>
      <c r="BV243" s="252"/>
      <c r="BW243" s="252"/>
      <c r="BX243" s="252"/>
      <c r="BY243" s="252"/>
      <c r="BZ243" s="252"/>
      <c r="CA243" s="252"/>
      <c r="CB243" s="252"/>
      <c r="CC243" s="252"/>
      <c r="CD243" s="252"/>
      <c r="CE243" s="252"/>
      <c r="CF243" s="252"/>
      <c r="CG243" s="252"/>
      <c r="CH243" s="252"/>
      <c r="CI243" s="252"/>
      <c r="CJ243" s="252"/>
      <c r="CK243" s="252"/>
      <c r="CL243" s="252"/>
      <c r="CM243" s="252"/>
      <c r="CN243" s="252"/>
      <c r="CO243" s="252"/>
      <c r="CP243" s="252"/>
      <c r="CQ243" s="252"/>
      <c r="CR243" s="252"/>
      <c r="CS243" s="252"/>
      <c r="CT243" s="252"/>
      <c r="CU243" s="252"/>
      <c r="CV243" s="252"/>
      <c r="CW243" s="252"/>
      <c r="CX243" s="252"/>
      <c r="CY243" s="252"/>
      <c r="CZ243" s="252"/>
      <c r="DA243" s="252"/>
      <c r="DB243" s="252"/>
      <c r="DC243" s="252"/>
      <c r="DD243" s="252"/>
      <c r="DE243" s="252"/>
      <c r="DF243" s="252"/>
      <c r="DG243" s="252"/>
      <c r="DH243" s="252"/>
      <c r="DI243" s="252"/>
      <c r="DJ243" s="252"/>
      <c r="DK243" s="252"/>
      <c r="DL243" s="252"/>
      <c r="DM243" s="252"/>
      <c r="DN243" s="252"/>
      <c r="DO243" s="252"/>
      <c r="DP243" s="252"/>
      <c r="DQ243" s="252"/>
      <c r="DR243" s="252"/>
      <c r="DS243" s="252"/>
      <c r="DT243" s="252"/>
      <c r="DU243" s="252"/>
      <c r="DV243" s="252"/>
      <c r="DW243" s="252"/>
      <c r="DX243" s="252"/>
      <c r="DY243" s="252"/>
      <c r="DZ243" s="252"/>
      <c r="EA243" s="252"/>
      <c r="EB243" s="252"/>
      <c r="EC243" s="252"/>
      <c r="ED243" s="252"/>
      <c r="EE243" s="252"/>
      <c r="EF243" s="252"/>
      <c r="EG243" s="252"/>
      <c r="EH243" s="252"/>
      <c r="EI243" s="252"/>
      <c r="EJ243" s="252"/>
      <c r="EK243" s="252"/>
      <c r="EL243" s="252"/>
      <c r="EM243" s="252"/>
      <c r="EN243" s="252"/>
      <c r="EO243" s="252"/>
      <c r="EP243" s="252"/>
      <c r="EQ243" s="252"/>
      <c r="ER243" s="252"/>
      <c r="ES243" s="252"/>
      <c r="ET243" s="252"/>
      <c r="EU243" s="252"/>
      <c r="EV243" s="252"/>
      <c r="EW243" s="252"/>
      <c r="EX243" s="252"/>
      <c r="EY243" s="252"/>
      <c r="EZ243" s="252"/>
      <c r="FA243" s="252"/>
      <c r="FB243" s="252"/>
      <c r="FC243" s="252"/>
      <c r="FD243" s="252"/>
      <c r="FE243" s="252"/>
      <c r="FF243" s="252"/>
      <c r="FG243" s="252"/>
      <c r="FH243" s="252"/>
      <c r="FI243" s="252"/>
      <c r="FJ243" s="252"/>
      <c r="FK243" s="252"/>
      <c r="FL243" s="252"/>
      <c r="FM243" s="252"/>
      <c r="FN243" s="252"/>
      <c r="FO243" s="252"/>
      <c r="FP243" s="252"/>
      <c r="FQ243" s="252"/>
      <c r="FR243" s="252"/>
      <c r="FS243" s="252"/>
      <c r="FT243" s="252"/>
      <c r="FU243" s="252"/>
      <c r="FV243" s="252"/>
      <c r="FW243" s="252"/>
      <c r="FX243" s="252"/>
      <c r="FY243" s="252"/>
      <c r="FZ243" s="252"/>
      <c r="GA243" s="252"/>
      <c r="GB243" s="252"/>
      <c r="GC243" s="252"/>
      <c r="GD243" s="252"/>
      <c r="GE243" s="252"/>
      <c r="GF243" s="252"/>
      <c r="GG243" s="252"/>
      <c r="GH243" s="252"/>
      <c r="GI243" s="252"/>
      <c r="GJ243" s="252"/>
      <c r="GK243" s="252"/>
      <c r="GL243" s="252"/>
      <c r="GM243" s="252"/>
      <c r="GN243" s="252"/>
      <c r="GO243" s="252"/>
      <c r="GP243" s="252"/>
      <c r="GQ243" s="252"/>
      <c r="GR243" s="252"/>
      <c r="GS243" s="252"/>
      <c r="GT243" s="252"/>
      <c r="GU243" s="252"/>
      <c r="GV243" s="252"/>
      <c r="GW243" s="252"/>
      <c r="GX243" s="252"/>
      <c r="GY243" s="252"/>
      <c r="GZ243" s="252"/>
      <c r="HA243" s="252"/>
      <c r="HB243" s="252"/>
      <c r="HC243" s="252"/>
      <c r="HD243" s="252"/>
      <c r="HE243" s="252"/>
      <c r="HF243" s="252"/>
      <c r="HG243" s="252"/>
      <c r="HH243" s="252"/>
      <c r="HI243" s="252"/>
      <c r="HJ243" s="252"/>
      <c r="HK243" s="252"/>
      <c r="HL243" s="252"/>
      <c r="HM243" s="252"/>
      <c r="HN243" s="252"/>
      <c r="HO243" s="252"/>
      <c r="HP243" s="252"/>
      <c r="HQ243" s="252"/>
      <c r="HR243" s="252"/>
      <c r="HS243" s="252"/>
      <c r="HT243" s="252"/>
      <c r="HU243" s="252"/>
      <c r="HV243" s="252"/>
      <c r="HW243" s="252"/>
      <c r="HX243" s="252"/>
      <c r="HY243" s="252"/>
      <c r="HZ243" s="252"/>
      <c r="IA243" s="252"/>
      <c r="IB243" s="252"/>
      <c r="IC243" s="252"/>
      <c r="ID243" s="252"/>
      <c r="IE243" s="252"/>
      <c r="IF243" s="252"/>
    </row>
    <row r="244" spans="1:240" s="260" customFormat="1" ht="168" customHeight="1" x14ac:dyDescent="0.25">
      <c r="A244" s="215">
        <f t="shared" si="77"/>
        <v>161</v>
      </c>
      <c r="B244" s="126" t="s">
        <v>607</v>
      </c>
      <c r="C244" s="223" t="s">
        <v>99</v>
      </c>
      <c r="D244" s="243" t="s">
        <v>41</v>
      </c>
      <c r="E244" s="20">
        <v>0.45999999999999996</v>
      </c>
      <c r="F244" s="28"/>
      <c r="G244" s="28">
        <v>0.45999999999999996</v>
      </c>
      <c r="H244" s="222"/>
      <c r="I244" s="222"/>
      <c r="J244" s="222"/>
      <c r="K244" s="222">
        <v>0.08</v>
      </c>
      <c r="L244" s="222">
        <v>0.23</v>
      </c>
      <c r="M244" s="222"/>
      <c r="N244" s="222"/>
      <c r="O244" s="222"/>
      <c r="P244" s="222"/>
      <c r="Q244" s="222"/>
      <c r="R244" s="222"/>
      <c r="S244" s="222"/>
      <c r="T244" s="222"/>
      <c r="U244" s="238">
        <v>0</v>
      </c>
      <c r="V244" s="92"/>
      <c r="W244" s="92"/>
      <c r="X244" s="92"/>
      <c r="Y244" s="92"/>
      <c r="Z244" s="92"/>
      <c r="AA244" s="92"/>
      <c r="AB244" s="92"/>
      <c r="AC244" s="92"/>
      <c r="AD244" s="92"/>
      <c r="AE244" s="92"/>
      <c r="AF244" s="92"/>
      <c r="AG244" s="92"/>
      <c r="AH244" s="92"/>
      <c r="AI244" s="92"/>
      <c r="AJ244" s="92">
        <v>0.04</v>
      </c>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v>0.11</v>
      </c>
      <c r="BH244" s="63" t="s">
        <v>1127</v>
      </c>
      <c r="BI244" s="223" t="s">
        <v>99</v>
      </c>
      <c r="BJ244" s="232" t="s">
        <v>1128</v>
      </c>
      <c r="BK244" s="241" t="s">
        <v>375</v>
      </c>
      <c r="BL244" s="218" t="s">
        <v>202</v>
      </c>
      <c r="BM244" s="226" t="s">
        <v>1027</v>
      </c>
      <c r="BN244" s="252"/>
      <c r="BO244" s="252"/>
      <c r="BP244" s="252"/>
      <c r="BQ244" s="252"/>
      <c r="BR244" s="252"/>
      <c r="BS244" s="252"/>
      <c r="BT244" s="252"/>
      <c r="BU244" s="252"/>
      <c r="BV244" s="252"/>
      <c r="BW244" s="252"/>
      <c r="BX244" s="252"/>
      <c r="BY244" s="252"/>
      <c r="BZ244" s="252"/>
      <c r="CA244" s="252"/>
      <c r="CB244" s="252"/>
      <c r="CC244" s="252"/>
      <c r="CD244" s="252"/>
      <c r="CE244" s="252"/>
      <c r="CF244" s="252"/>
      <c r="CG244" s="252"/>
      <c r="CH244" s="252"/>
      <c r="CI244" s="252"/>
      <c r="CJ244" s="252"/>
      <c r="CK244" s="252"/>
      <c r="CL244" s="252"/>
      <c r="CM244" s="252"/>
      <c r="CN244" s="252"/>
      <c r="CO244" s="252"/>
      <c r="CP244" s="252"/>
      <c r="CQ244" s="252"/>
      <c r="CR244" s="252"/>
      <c r="CS244" s="252"/>
      <c r="CT244" s="252"/>
      <c r="CU244" s="252"/>
      <c r="CV244" s="252"/>
      <c r="CW244" s="252"/>
      <c r="CX244" s="252"/>
      <c r="CY244" s="252"/>
      <c r="CZ244" s="252"/>
      <c r="DA244" s="252"/>
      <c r="DB244" s="252"/>
      <c r="DC244" s="252"/>
      <c r="DD244" s="252"/>
      <c r="DE244" s="252"/>
      <c r="DF244" s="252"/>
      <c r="DG244" s="252"/>
      <c r="DH244" s="252"/>
      <c r="DI244" s="252"/>
      <c r="DJ244" s="252"/>
      <c r="DK244" s="252"/>
      <c r="DL244" s="252"/>
      <c r="DM244" s="252"/>
      <c r="DN244" s="252"/>
      <c r="DO244" s="252"/>
      <c r="DP244" s="252"/>
      <c r="DQ244" s="252"/>
      <c r="DR244" s="252"/>
      <c r="DS244" s="252"/>
      <c r="DT244" s="252"/>
      <c r="DU244" s="252"/>
      <c r="DV244" s="252"/>
      <c r="DW244" s="252"/>
      <c r="DX244" s="252"/>
      <c r="DY244" s="252"/>
      <c r="DZ244" s="252"/>
      <c r="EA244" s="252"/>
      <c r="EB244" s="252"/>
      <c r="EC244" s="252"/>
      <c r="ED244" s="252"/>
      <c r="EE244" s="252"/>
      <c r="EF244" s="252"/>
      <c r="EG244" s="252"/>
      <c r="EH244" s="252"/>
      <c r="EI244" s="252"/>
      <c r="EJ244" s="252"/>
      <c r="EK244" s="252"/>
      <c r="EL244" s="252"/>
      <c r="EM244" s="252"/>
      <c r="EN244" s="252"/>
      <c r="EO244" s="252"/>
      <c r="EP244" s="252"/>
      <c r="EQ244" s="252"/>
      <c r="ER244" s="252"/>
      <c r="ES244" s="252"/>
      <c r="ET244" s="252"/>
      <c r="EU244" s="252"/>
      <c r="EV244" s="252"/>
      <c r="EW244" s="252"/>
      <c r="EX244" s="252"/>
      <c r="EY244" s="252"/>
      <c r="EZ244" s="252"/>
      <c r="FA244" s="252"/>
      <c r="FB244" s="252"/>
      <c r="FC244" s="252"/>
      <c r="FD244" s="252"/>
      <c r="FE244" s="252"/>
      <c r="FF244" s="252"/>
      <c r="FG244" s="252"/>
      <c r="FH244" s="252"/>
      <c r="FI244" s="252"/>
      <c r="FJ244" s="252"/>
      <c r="FK244" s="252"/>
      <c r="FL244" s="252"/>
      <c r="FM244" s="252"/>
      <c r="FN244" s="252"/>
      <c r="FO244" s="252"/>
      <c r="FP244" s="252"/>
      <c r="FQ244" s="252"/>
      <c r="FR244" s="252"/>
      <c r="FS244" s="252"/>
      <c r="FT244" s="252"/>
      <c r="FU244" s="252"/>
      <c r="FV244" s="252"/>
      <c r="FW244" s="252"/>
      <c r="FX244" s="252"/>
      <c r="FY244" s="252"/>
      <c r="FZ244" s="252"/>
      <c r="GA244" s="252"/>
      <c r="GB244" s="252"/>
      <c r="GC244" s="252"/>
      <c r="GD244" s="252"/>
      <c r="GE244" s="252"/>
      <c r="GF244" s="252"/>
      <c r="GG244" s="252"/>
      <c r="GH244" s="252"/>
      <c r="GI244" s="252"/>
      <c r="GJ244" s="252"/>
      <c r="GK244" s="252"/>
      <c r="GL244" s="252"/>
      <c r="GM244" s="252"/>
      <c r="GN244" s="252"/>
      <c r="GO244" s="252"/>
      <c r="GP244" s="252"/>
      <c r="GQ244" s="252"/>
      <c r="GR244" s="252"/>
      <c r="GS244" s="252"/>
      <c r="GT244" s="252"/>
      <c r="GU244" s="252"/>
      <c r="GV244" s="252"/>
      <c r="GW244" s="252"/>
      <c r="GX244" s="252"/>
      <c r="GY244" s="252"/>
      <c r="GZ244" s="252"/>
      <c r="HA244" s="252"/>
      <c r="HB244" s="252"/>
      <c r="HC244" s="252"/>
      <c r="HD244" s="252"/>
      <c r="HE244" s="252"/>
      <c r="HF244" s="252"/>
      <c r="HG244" s="252"/>
      <c r="HH244" s="252"/>
      <c r="HI244" s="252"/>
      <c r="HJ244" s="252"/>
      <c r="HK244" s="252"/>
      <c r="HL244" s="252"/>
      <c r="HM244" s="252"/>
      <c r="HN244" s="252"/>
      <c r="HO244" s="252"/>
      <c r="HP244" s="252"/>
      <c r="HQ244" s="252"/>
      <c r="HR244" s="252"/>
      <c r="HS244" s="252"/>
      <c r="HT244" s="252"/>
      <c r="HU244" s="252"/>
      <c r="HV244" s="252"/>
      <c r="HW244" s="252"/>
      <c r="HX244" s="252"/>
      <c r="HY244" s="252"/>
      <c r="HZ244" s="252"/>
      <c r="IA244" s="252"/>
      <c r="IB244" s="252"/>
      <c r="IC244" s="252"/>
      <c r="ID244" s="252"/>
      <c r="IE244" s="252"/>
      <c r="IF244" s="252"/>
    </row>
    <row r="245" spans="1:240" s="260" customFormat="1" hidden="1" x14ac:dyDescent="0.25">
      <c r="A245" s="215"/>
      <c r="B245" s="126"/>
      <c r="C245" s="223"/>
      <c r="D245" s="243"/>
      <c r="E245" s="20"/>
      <c r="F245" s="28"/>
      <c r="G245" s="28">
        <f t="shared" ref="G245:G255" si="78">SUM(H245:M245,Q245,U245,Y245:BG245)</f>
        <v>0.05</v>
      </c>
      <c r="H245" s="222"/>
      <c r="I245" s="222"/>
      <c r="J245" s="222"/>
      <c r="K245" s="222"/>
      <c r="L245" s="222">
        <v>0.04</v>
      </c>
      <c r="M245" s="222"/>
      <c r="N245" s="222"/>
      <c r="O245" s="222"/>
      <c r="P245" s="222"/>
      <c r="Q245" s="222"/>
      <c r="R245" s="222"/>
      <c r="S245" s="222"/>
      <c r="T245" s="222"/>
      <c r="U245" s="238"/>
      <c r="V245" s="92"/>
      <c r="W245" s="92"/>
      <c r="X245" s="92"/>
      <c r="Y245" s="92"/>
      <c r="Z245" s="92"/>
      <c r="AA245" s="92"/>
      <c r="AB245" s="92"/>
      <c r="AC245" s="92"/>
      <c r="AD245" s="92"/>
      <c r="AE245" s="92"/>
      <c r="AF245" s="92"/>
      <c r="AG245" s="92"/>
      <c r="AH245" s="92"/>
      <c r="AI245" s="92"/>
      <c r="AJ245" s="92">
        <v>0.01</v>
      </c>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241" t="s">
        <v>1126</v>
      </c>
      <c r="BI245" s="223"/>
      <c r="BJ245" s="232" t="s">
        <v>1129</v>
      </c>
      <c r="BK245" s="241"/>
      <c r="BL245" s="218"/>
      <c r="BM245" s="226"/>
      <c r="BN245" s="252"/>
      <c r="BO245" s="252"/>
      <c r="BP245" s="252"/>
      <c r="BQ245" s="252"/>
      <c r="BR245" s="252"/>
      <c r="BS245" s="252"/>
      <c r="BT245" s="252"/>
      <c r="BU245" s="252"/>
      <c r="BV245" s="252"/>
      <c r="BW245" s="252"/>
      <c r="BX245" s="252"/>
      <c r="BY245" s="252"/>
      <c r="BZ245" s="252"/>
      <c r="CA245" s="252"/>
      <c r="CB245" s="252"/>
      <c r="CC245" s="252"/>
      <c r="CD245" s="252"/>
      <c r="CE245" s="252"/>
      <c r="CF245" s="252"/>
      <c r="CG245" s="252"/>
      <c r="CH245" s="252"/>
      <c r="CI245" s="252"/>
      <c r="CJ245" s="252"/>
      <c r="CK245" s="252"/>
      <c r="CL245" s="252"/>
      <c r="CM245" s="252"/>
      <c r="CN245" s="252"/>
      <c r="CO245" s="252"/>
      <c r="CP245" s="252"/>
      <c r="CQ245" s="252"/>
      <c r="CR245" s="252"/>
      <c r="CS245" s="252"/>
      <c r="CT245" s="252"/>
      <c r="CU245" s="252"/>
      <c r="CV245" s="252"/>
      <c r="CW245" s="252"/>
      <c r="CX245" s="252"/>
      <c r="CY245" s="252"/>
      <c r="CZ245" s="252"/>
      <c r="DA245" s="252"/>
      <c r="DB245" s="252"/>
      <c r="DC245" s="252"/>
      <c r="DD245" s="252"/>
      <c r="DE245" s="252"/>
      <c r="DF245" s="252"/>
      <c r="DG245" s="252"/>
      <c r="DH245" s="252"/>
      <c r="DI245" s="252"/>
      <c r="DJ245" s="252"/>
      <c r="DK245" s="252"/>
      <c r="DL245" s="252"/>
      <c r="DM245" s="252"/>
      <c r="DN245" s="252"/>
      <c r="DO245" s="252"/>
      <c r="DP245" s="252"/>
      <c r="DQ245" s="252"/>
      <c r="DR245" s="252"/>
      <c r="DS245" s="252"/>
      <c r="DT245" s="252"/>
      <c r="DU245" s="252"/>
      <c r="DV245" s="252"/>
      <c r="DW245" s="252"/>
      <c r="DX245" s="252"/>
      <c r="DY245" s="252"/>
      <c r="DZ245" s="252"/>
      <c r="EA245" s="252"/>
      <c r="EB245" s="252"/>
      <c r="EC245" s="252"/>
      <c r="ED245" s="252"/>
      <c r="EE245" s="252"/>
      <c r="EF245" s="252"/>
      <c r="EG245" s="252"/>
      <c r="EH245" s="252"/>
      <c r="EI245" s="252"/>
      <c r="EJ245" s="252"/>
      <c r="EK245" s="252"/>
      <c r="EL245" s="252"/>
      <c r="EM245" s="252"/>
      <c r="EN245" s="252"/>
      <c r="EO245" s="252"/>
      <c r="EP245" s="252"/>
      <c r="EQ245" s="252"/>
      <c r="ER245" s="252"/>
      <c r="ES245" s="252"/>
      <c r="ET245" s="252"/>
      <c r="EU245" s="252"/>
      <c r="EV245" s="252"/>
      <c r="EW245" s="252"/>
      <c r="EX245" s="252"/>
      <c r="EY245" s="252"/>
      <c r="EZ245" s="252"/>
      <c r="FA245" s="252"/>
      <c r="FB245" s="252"/>
      <c r="FC245" s="252"/>
      <c r="FD245" s="252"/>
      <c r="FE245" s="252"/>
      <c r="FF245" s="252"/>
      <c r="FG245" s="252"/>
      <c r="FH245" s="252"/>
      <c r="FI245" s="252"/>
      <c r="FJ245" s="252"/>
      <c r="FK245" s="252"/>
      <c r="FL245" s="252"/>
      <c r="FM245" s="252"/>
      <c r="FN245" s="252"/>
      <c r="FO245" s="252"/>
      <c r="FP245" s="252"/>
      <c r="FQ245" s="252"/>
      <c r="FR245" s="252"/>
      <c r="FS245" s="252"/>
      <c r="FT245" s="252"/>
      <c r="FU245" s="252"/>
      <c r="FV245" s="252"/>
      <c r="FW245" s="252"/>
      <c r="FX245" s="252"/>
      <c r="FY245" s="252"/>
      <c r="FZ245" s="252"/>
      <c r="GA245" s="252"/>
      <c r="GB245" s="252"/>
      <c r="GC245" s="252"/>
      <c r="GD245" s="252"/>
      <c r="GE245" s="252"/>
      <c r="GF245" s="252"/>
      <c r="GG245" s="252"/>
      <c r="GH245" s="252"/>
      <c r="GI245" s="252"/>
      <c r="GJ245" s="252"/>
      <c r="GK245" s="252"/>
      <c r="GL245" s="252"/>
      <c r="GM245" s="252"/>
      <c r="GN245" s="252"/>
      <c r="GO245" s="252"/>
      <c r="GP245" s="252"/>
      <c r="GQ245" s="252"/>
      <c r="GR245" s="252"/>
      <c r="GS245" s="252"/>
      <c r="GT245" s="252"/>
      <c r="GU245" s="252"/>
      <c r="GV245" s="252"/>
      <c r="GW245" s="252"/>
      <c r="GX245" s="252"/>
      <c r="GY245" s="252"/>
      <c r="GZ245" s="252"/>
      <c r="HA245" s="252"/>
      <c r="HB245" s="252"/>
      <c r="HC245" s="252"/>
      <c r="HD245" s="252"/>
      <c r="HE245" s="252"/>
      <c r="HF245" s="252"/>
      <c r="HG245" s="252"/>
      <c r="HH245" s="252"/>
      <c r="HI245" s="252"/>
      <c r="HJ245" s="252"/>
      <c r="HK245" s="252"/>
      <c r="HL245" s="252"/>
      <c r="HM245" s="252"/>
      <c r="HN245" s="252"/>
      <c r="HO245" s="252"/>
      <c r="HP245" s="252"/>
      <c r="HQ245" s="252"/>
      <c r="HR245" s="252"/>
      <c r="HS245" s="252"/>
      <c r="HT245" s="252"/>
      <c r="HU245" s="252"/>
      <c r="HV245" s="252"/>
      <c r="HW245" s="252"/>
      <c r="HX245" s="252"/>
      <c r="HY245" s="252"/>
      <c r="HZ245" s="252"/>
      <c r="IA245" s="252"/>
      <c r="IB245" s="252"/>
      <c r="IC245" s="252"/>
      <c r="ID245" s="252"/>
      <c r="IE245" s="252"/>
      <c r="IF245" s="252"/>
    </row>
    <row r="246" spans="1:240" s="260" customFormat="1" hidden="1" x14ac:dyDescent="0.25">
      <c r="A246" s="215"/>
      <c r="B246" s="126"/>
      <c r="C246" s="223"/>
      <c r="D246" s="243"/>
      <c r="E246" s="20"/>
      <c r="F246" s="28"/>
      <c r="G246" s="28">
        <f t="shared" si="78"/>
        <v>0.02</v>
      </c>
      <c r="H246" s="222"/>
      <c r="I246" s="222"/>
      <c r="J246" s="222"/>
      <c r="K246" s="222">
        <v>0.02</v>
      </c>
      <c r="L246" s="222"/>
      <c r="M246" s="222"/>
      <c r="N246" s="222"/>
      <c r="O246" s="222"/>
      <c r="P246" s="222"/>
      <c r="Q246" s="222"/>
      <c r="R246" s="222"/>
      <c r="S246" s="222"/>
      <c r="T246" s="222"/>
      <c r="U246" s="238"/>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241" t="s">
        <v>1130</v>
      </c>
      <c r="BI246" s="223"/>
      <c r="BJ246" s="232" t="s">
        <v>1115</v>
      </c>
      <c r="BK246" s="241"/>
      <c r="BL246" s="218"/>
      <c r="BM246" s="226"/>
      <c r="BN246" s="252"/>
      <c r="BO246" s="252"/>
      <c r="BP246" s="252"/>
      <c r="BQ246" s="252"/>
      <c r="BR246" s="252"/>
      <c r="BS246" s="252"/>
      <c r="BT246" s="252"/>
      <c r="BU246" s="252"/>
      <c r="BV246" s="252"/>
      <c r="BW246" s="252"/>
      <c r="BX246" s="252"/>
      <c r="BY246" s="252"/>
      <c r="BZ246" s="252"/>
      <c r="CA246" s="252"/>
      <c r="CB246" s="252"/>
      <c r="CC246" s="252"/>
      <c r="CD246" s="252"/>
      <c r="CE246" s="252"/>
      <c r="CF246" s="252"/>
      <c r="CG246" s="252"/>
      <c r="CH246" s="252"/>
      <c r="CI246" s="252"/>
      <c r="CJ246" s="252"/>
      <c r="CK246" s="252"/>
      <c r="CL246" s="252"/>
      <c r="CM246" s="252"/>
      <c r="CN246" s="252"/>
      <c r="CO246" s="252"/>
      <c r="CP246" s="252"/>
      <c r="CQ246" s="252"/>
      <c r="CR246" s="252"/>
      <c r="CS246" s="252"/>
      <c r="CT246" s="252"/>
      <c r="CU246" s="252"/>
      <c r="CV246" s="252"/>
      <c r="CW246" s="252"/>
      <c r="CX246" s="252"/>
      <c r="CY246" s="252"/>
      <c r="CZ246" s="252"/>
      <c r="DA246" s="252"/>
      <c r="DB246" s="252"/>
      <c r="DC246" s="252"/>
      <c r="DD246" s="252"/>
      <c r="DE246" s="252"/>
      <c r="DF246" s="252"/>
      <c r="DG246" s="252"/>
      <c r="DH246" s="252"/>
      <c r="DI246" s="252"/>
      <c r="DJ246" s="252"/>
      <c r="DK246" s="252"/>
      <c r="DL246" s="252"/>
      <c r="DM246" s="252"/>
      <c r="DN246" s="252"/>
      <c r="DO246" s="252"/>
      <c r="DP246" s="252"/>
      <c r="DQ246" s="252"/>
      <c r="DR246" s="252"/>
      <c r="DS246" s="252"/>
      <c r="DT246" s="252"/>
      <c r="DU246" s="252"/>
      <c r="DV246" s="252"/>
      <c r="DW246" s="252"/>
      <c r="DX246" s="252"/>
      <c r="DY246" s="252"/>
      <c r="DZ246" s="252"/>
      <c r="EA246" s="252"/>
      <c r="EB246" s="252"/>
      <c r="EC246" s="252"/>
      <c r="ED246" s="252"/>
      <c r="EE246" s="252"/>
      <c r="EF246" s="252"/>
      <c r="EG246" s="252"/>
      <c r="EH246" s="252"/>
      <c r="EI246" s="252"/>
      <c r="EJ246" s="252"/>
      <c r="EK246" s="252"/>
      <c r="EL246" s="252"/>
      <c r="EM246" s="252"/>
      <c r="EN246" s="252"/>
      <c r="EO246" s="252"/>
      <c r="EP246" s="252"/>
      <c r="EQ246" s="252"/>
      <c r="ER246" s="252"/>
      <c r="ES246" s="252"/>
      <c r="ET246" s="252"/>
      <c r="EU246" s="252"/>
      <c r="EV246" s="252"/>
      <c r="EW246" s="252"/>
      <c r="EX246" s="252"/>
      <c r="EY246" s="252"/>
      <c r="EZ246" s="252"/>
      <c r="FA246" s="252"/>
      <c r="FB246" s="252"/>
      <c r="FC246" s="252"/>
      <c r="FD246" s="252"/>
      <c r="FE246" s="252"/>
      <c r="FF246" s="252"/>
      <c r="FG246" s="252"/>
      <c r="FH246" s="252"/>
      <c r="FI246" s="252"/>
      <c r="FJ246" s="252"/>
      <c r="FK246" s="252"/>
      <c r="FL246" s="252"/>
      <c r="FM246" s="252"/>
      <c r="FN246" s="252"/>
      <c r="FO246" s="252"/>
      <c r="FP246" s="252"/>
      <c r="FQ246" s="252"/>
      <c r="FR246" s="252"/>
      <c r="FS246" s="252"/>
      <c r="FT246" s="252"/>
      <c r="FU246" s="252"/>
      <c r="FV246" s="252"/>
      <c r="FW246" s="252"/>
      <c r="FX246" s="252"/>
      <c r="FY246" s="252"/>
      <c r="FZ246" s="252"/>
      <c r="GA246" s="252"/>
      <c r="GB246" s="252"/>
      <c r="GC246" s="252"/>
      <c r="GD246" s="252"/>
      <c r="GE246" s="252"/>
      <c r="GF246" s="252"/>
      <c r="GG246" s="252"/>
      <c r="GH246" s="252"/>
      <c r="GI246" s="252"/>
      <c r="GJ246" s="252"/>
      <c r="GK246" s="252"/>
      <c r="GL246" s="252"/>
      <c r="GM246" s="252"/>
      <c r="GN246" s="252"/>
      <c r="GO246" s="252"/>
      <c r="GP246" s="252"/>
      <c r="GQ246" s="252"/>
      <c r="GR246" s="252"/>
      <c r="GS246" s="252"/>
      <c r="GT246" s="252"/>
      <c r="GU246" s="252"/>
      <c r="GV246" s="252"/>
      <c r="GW246" s="252"/>
      <c r="GX246" s="252"/>
      <c r="GY246" s="252"/>
      <c r="GZ246" s="252"/>
      <c r="HA246" s="252"/>
      <c r="HB246" s="252"/>
      <c r="HC246" s="252"/>
      <c r="HD246" s="252"/>
      <c r="HE246" s="252"/>
      <c r="HF246" s="252"/>
      <c r="HG246" s="252"/>
      <c r="HH246" s="252"/>
      <c r="HI246" s="252"/>
      <c r="HJ246" s="252"/>
      <c r="HK246" s="252"/>
      <c r="HL246" s="252"/>
      <c r="HM246" s="252"/>
      <c r="HN246" s="252"/>
      <c r="HO246" s="252"/>
      <c r="HP246" s="252"/>
      <c r="HQ246" s="252"/>
      <c r="HR246" s="252"/>
      <c r="HS246" s="252"/>
      <c r="HT246" s="252"/>
      <c r="HU246" s="252"/>
      <c r="HV246" s="252"/>
      <c r="HW246" s="252"/>
      <c r="HX246" s="252"/>
      <c r="HY246" s="252"/>
      <c r="HZ246" s="252"/>
      <c r="IA246" s="252"/>
      <c r="IB246" s="252"/>
      <c r="IC246" s="252"/>
      <c r="ID246" s="252"/>
      <c r="IE246" s="252"/>
      <c r="IF246" s="252"/>
    </row>
    <row r="247" spans="1:240" s="260" customFormat="1" hidden="1" x14ac:dyDescent="0.25">
      <c r="A247" s="215"/>
      <c r="B247" s="126"/>
      <c r="C247" s="223"/>
      <c r="D247" s="243"/>
      <c r="E247" s="20"/>
      <c r="F247" s="28"/>
      <c r="G247" s="28">
        <f t="shared" si="78"/>
        <v>0.04</v>
      </c>
      <c r="H247" s="222"/>
      <c r="I247" s="222"/>
      <c r="J247" s="222"/>
      <c r="K247" s="222"/>
      <c r="L247" s="222"/>
      <c r="M247" s="222"/>
      <c r="N247" s="222"/>
      <c r="O247" s="222"/>
      <c r="P247" s="222"/>
      <c r="Q247" s="222"/>
      <c r="R247" s="222"/>
      <c r="S247" s="222"/>
      <c r="T247" s="222"/>
      <c r="U247" s="238"/>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v>0.04</v>
      </c>
      <c r="BH247" s="241" t="s">
        <v>1131</v>
      </c>
      <c r="BI247" s="223"/>
      <c r="BJ247" s="232" t="s">
        <v>1116</v>
      </c>
      <c r="BK247" s="241"/>
      <c r="BL247" s="218"/>
      <c r="BM247" s="226"/>
      <c r="BN247" s="252"/>
      <c r="BO247" s="252"/>
      <c r="BP247" s="252"/>
      <c r="BQ247" s="252"/>
      <c r="BR247" s="252"/>
      <c r="BS247" s="252"/>
      <c r="BT247" s="252"/>
      <c r="BU247" s="252"/>
      <c r="BV247" s="252"/>
      <c r="BW247" s="252"/>
      <c r="BX247" s="252"/>
      <c r="BY247" s="252"/>
      <c r="BZ247" s="252"/>
      <c r="CA247" s="252"/>
      <c r="CB247" s="252"/>
      <c r="CC247" s="252"/>
      <c r="CD247" s="252"/>
      <c r="CE247" s="252"/>
      <c r="CF247" s="252"/>
      <c r="CG247" s="252"/>
      <c r="CH247" s="252"/>
      <c r="CI247" s="252"/>
      <c r="CJ247" s="252"/>
      <c r="CK247" s="252"/>
      <c r="CL247" s="252"/>
      <c r="CM247" s="252"/>
      <c r="CN247" s="252"/>
      <c r="CO247" s="252"/>
      <c r="CP247" s="252"/>
      <c r="CQ247" s="252"/>
      <c r="CR247" s="252"/>
      <c r="CS247" s="252"/>
      <c r="CT247" s="252"/>
      <c r="CU247" s="252"/>
      <c r="CV247" s="252"/>
      <c r="CW247" s="252"/>
      <c r="CX247" s="252"/>
      <c r="CY247" s="252"/>
      <c r="CZ247" s="252"/>
      <c r="DA247" s="252"/>
      <c r="DB247" s="252"/>
      <c r="DC247" s="252"/>
      <c r="DD247" s="252"/>
      <c r="DE247" s="252"/>
      <c r="DF247" s="252"/>
      <c r="DG247" s="252"/>
      <c r="DH247" s="252"/>
      <c r="DI247" s="252"/>
      <c r="DJ247" s="252"/>
      <c r="DK247" s="252"/>
      <c r="DL247" s="252"/>
      <c r="DM247" s="252"/>
      <c r="DN247" s="252"/>
      <c r="DO247" s="252"/>
      <c r="DP247" s="252"/>
      <c r="DQ247" s="252"/>
      <c r="DR247" s="252"/>
      <c r="DS247" s="252"/>
      <c r="DT247" s="252"/>
      <c r="DU247" s="252"/>
      <c r="DV247" s="252"/>
      <c r="DW247" s="252"/>
      <c r="DX247" s="252"/>
      <c r="DY247" s="252"/>
      <c r="DZ247" s="252"/>
      <c r="EA247" s="252"/>
      <c r="EB247" s="252"/>
      <c r="EC247" s="252"/>
      <c r="ED247" s="252"/>
      <c r="EE247" s="252"/>
      <c r="EF247" s="252"/>
      <c r="EG247" s="252"/>
      <c r="EH247" s="252"/>
      <c r="EI247" s="252"/>
      <c r="EJ247" s="252"/>
      <c r="EK247" s="252"/>
      <c r="EL247" s="252"/>
      <c r="EM247" s="252"/>
      <c r="EN247" s="252"/>
      <c r="EO247" s="252"/>
      <c r="EP247" s="252"/>
      <c r="EQ247" s="252"/>
      <c r="ER247" s="252"/>
      <c r="ES247" s="252"/>
      <c r="ET247" s="252"/>
      <c r="EU247" s="252"/>
      <c r="EV247" s="252"/>
      <c r="EW247" s="252"/>
      <c r="EX247" s="252"/>
      <c r="EY247" s="252"/>
      <c r="EZ247" s="252"/>
      <c r="FA247" s="252"/>
      <c r="FB247" s="252"/>
      <c r="FC247" s="252"/>
      <c r="FD247" s="252"/>
      <c r="FE247" s="252"/>
      <c r="FF247" s="252"/>
      <c r="FG247" s="252"/>
      <c r="FH247" s="252"/>
      <c r="FI247" s="252"/>
      <c r="FJ247" s="252"/>
      <c r="FK247" s="252"/>
      <c r="FL247" s="252"/>
      <c r="FM247" s="252"/>
      <c r="FN247" s="252"/>
      <c r="FO247" s="252"/>
      <c r="FP247" s="252"/>
      <c r="FQ247" s="252"/>
      <c r="FR247" s="252"/>
      <c r="FS247" s="252"/>
      <c r="FT247" s="252"/>
      <c r="FU247" s="252"/>
      <c r="FV247" s="252"/>
      <c r="FW247" s="252"/>
      <c r="FX247" s="252"/>
      <c r="FY247" s="252"/>
      <c r="FZ247" s="252"/>
      <c r="GA247" s="252"/>
      <c r="GB247" s="252"/>
      <c r="GC247" s="252"/>
      <c r="GD247" s="252"/>
      <c r="GE247" s="252"/>
      <c r="GF247" s="252"/>
      <c r="GG247" s="252"/>
      <c r="GH247" s="252"/>
      <c r="GI247" s="252"/>
      <c r="GJ247" s="252"/>
      <c r="GK247" s="252"/>
      <c r="GL247" s="252"/>
      <c r="GM247" s="252"/>
      <c r="GN247" s="252"/>
      <c r="GO247" s="252"/>
      <c r="GP247" s="252"/>
      <c r="GQ247" s="252"/>
      <c r="GR247" s="252"/>
      <c r="GS247" s="252"/>
      <c r="GT247" s="252"/>
      <c r="GU247" s="252"/>
      <c r="GV247" s="252"/>
      <c r="GW247" s="252"/>
      <c r="GX247" s="252"/>
      <c r="GY247" s="252"/>
      <c r="GZ247" s="252"/>
      <c r="HA247" s="252"/>
      <c r="HB247" s="252"/>
      <c r="HC247" s="252"/>
      <c r="HD247" s="252"/>
      <c r="HE247" s="252"/>
      <c r="HF247" s="252"/>
      <c r="HG247" s="252"/>
      <c r="HH247" s="252"/>
      <c r="HI247" s="252"/>
      <c r="HJ247" s="252"/>
      <c r="HK247" s="252"/>
      <c r="HL247" s="252"/>
      <c r="HM247" s="252"/>
      <c r="HN247" s="252"/>
      <c r="HO247" s="252"/>
      <c r="HP247" s="252"/>
      <c r="HQ247" s="252"/>
      <c r="HR247" s="252"/>
      <c r="HS247" s="252"/>
      <c r="HT247" s="252"/>
      <c r="HU247" s="252"/>
      <c r="HV247" s="252"/>
      <c r="HW247" s="252"/>
      <c r="HX247" s="252"/>
      <c r="HY247" s="252"/>
      <c r="HZ247" s="252"/>
      <c r="IA247" s="252"/>
      <c r="IB247" s="252"/>
      <c r="IC247" s="252"/>
      <c r="ID247" s="252"/>
      <c r="IE247" s="252"/>
      <c r="IF247" s="252"/>
    </row>
    <row r="248" spans="1:240" s="260" customFormat="1" hidden="1" x14ac:dyDescent="0.25">
      <c r="A248" s="215"/>
      <c r="B248" s="126"/>
      <c r="C248" s="223"/>
      <c r="D248" s="243"/>
      <c r="E248" s="20"/>
      <c r="F248" s="28"/>
      <c r="G248" s="28">
        <f t="shared" si="78"/>
        <v>0.02</v>
      </c>
      <c r="H248" s="222"/>
      <c r="I248" s="222"/>
      <c r="J248" s="222"/>
      <c r="K248" s="222"/>
      <c r="L248" s="222"/>
      <c r="M248" s="222"/>
      <c r="N248" s="222"/>
      <c r="O248" s="222"/>
      <c r="P248" s="222"/>
      <c r="Q248" s="222"/>
      <c r="R248" s="222"/>
      <c r="S248" s="222"/>
      <c r="T248" s="222"/>
      <c r="U248" s="238"/>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v>0.02</v>
      </c>
      <c r="BH248" s="241" t="s">
        <v>1132</v>
      </c>
      <c r="BI248" s="223"/>
      <c r="BJ248" s="232" t="s">
        <v>1117</v>
      </c>
      <c r="BK248" s="241"/>
      <c r="BL248" s="218"/>
      <c r="BM248" s="226"/>
      <c r="BN248" s="252"/>
      <c r="BO248" s="252"/>
      <c r="BP248" s="252"/>
      <c r="BQ248" s="252"/>
      <c r="BR248" s="252"/>
      <c r="BS248" s="252"/>
      <c r="BT248" s="252"/>
      <c r="BU248" s="252"/>
      <c r="BV248" s="252"/>
      <c r="BW248" s="252"/>
      <c r="BX248" s="252"/>
      <c r="BY248" s="252"/>
      <c r="BZ248" s="252"/>
      <c r="CA248" s="252"/>
      <c r="CB248" s="252"/>
      <c r="CC248" s="252"/>
      <c r="CD248" s="252"/>
      <c r="CE248" s="252"/>
      <c r="CF248" s="252"/>
      <c r="CG248" s="252"/>
      <c r="CH248" s="252"/>
      <c r="CI248" s="252"/>
      <c r="CJ248" s="252"/>
      <c r="CK248" s="252"/>
      <c r="CL248" s="252"/>
      <c r="CM248" s="252"/>
      <c r="CN248" s="252"/>
      <c r="CO248" s="252"/>
      <c r="CP248" s="252"/>
      <c r="CQ248" s="252"/>
      <c r="CR248" s="252"/>
      <c r="CS248" s="252"/>
      <c r="CT248" s="252"/>
      <c r="CU248" s="252"/>
      <c r="CV248" s="252"/>
      <c r="CW248" s="252"/>
      <c r="CX248" s="252"/>
      <c r="CY248" s="252"/>
      <c r="CZ248" s="252"/>
      <c r="DA248" s="252"/>
      <c r="DB248" s="252"/>
      <c r="DC248" s="252"/>
      <c r="DD248" s="252"/>
      <c r="DE248" s="252"/>
      <c r="DF248" s="252"/>
      <c r="DG248" s="252"/>
      <c r="DH248" s="252"/>
      <c r="DI248" s="252"/>
      <c r="DJ248" s="252"/>
      <c r="DK248" s="252"/>
      <c r="DL248" s="252"/>
      <c r="DM248" s="252"/>
      <c r="DN248" s="252"/>
      <c r="DO248" s="252"/>
      <c r="DP248" s="252"/>
      <c r="DQ248" s="252"/>
      <c r="DR248" s="252"/>
      <c r="DS248" s="252"/>
      <c r="DT248" s="252"/>
      <c r="DU248" s="252"/>
      <c r="DV248" s="252"/>
      <c r="DW248" s="252"/>
      <c r="DX248" s="252"/>
      <c r="DY248" s="252"/>
      <c r="DZ248" s="252"/>
      <c r="EA248" s="252"/>
      <c r="EB248" s="252"/>
      <c r="EC248" s="252"/>
      <c r="ED248" s="252"/>
      <c r="EE248" s="252"/>
      <c r="EF248" s="252"/>
      <c r="EG248" s="252"/>
      <c r="EH248" s="252"/>
      <c r="EI248" s="252"/>
      <c r="EJ248" s="252"/>
      <c r="EK248" s="252"/>
      <c r="EL248" s="252"/>
      <c r="EM248" s="252"/>
      <c r="EN248" s="252"/>
      <c r="EO248" s="252"/>
      <c r="EP248" s="252"/>
      <c r="EQ248" s="252"/>
      <c r="ER248" s="252"/>
      <c r="ES248" s="252"/>
      <c r="ET248" s="252"/>
      <c r="EU248" s="252"/>
      <c r="EV248" s="252"/>
      <c r="EW248" s="252"/>
      <c r="EX248" s="252"/>
      <c r="EY248" s="252"/>
      <c r="EZ248" s="252"/>
      <c r="FA248" s="252"/>
      <c r="FB248" s="252"/>
      <c r="FC248" s="252"/>
      <c r="FD248" s="252"/>
      <c r="FE248" s="252"/>
      <c r="FF248" s="252"/>
      <c r="FG248" s="252"/>
      <c r="FH248" s="252"/>
      <c r="FI248" s="252"/>
      <c r="FJ248" s="252"/>
      <c r="FK248" s="252"/>
      <c r="FL248" s="252"/>
      <c r="FM248" s="252"/>
      <c r="FN248" s="252"/>
      <c r="FO248" s="252"/>
      <c r="FP248" s="252"/>
      <c r="FQ248" s="252"/>
      <c r="FR248" s="252"/>
      <c r="FS248" s="252"/>
      <c r="FT248" s="252"/>
      <c r="FU248" s="252"/>
      <c r="FV248" s="252"/>
      <c r="FW248" s="252"/>
      <c r="FX248" s="252"/>
      <c r="FY248" s="252"/>
      <c r="FZ248" s="252"/>
      <c r="GA248" s="252"/>
      <c r="GB248" s="252"/>
      <c r="GC248" s="252"/>
      <c r="GD248" s="252"/>
      <c r="GE248" s="252"/>
      <c r="GF248" s="252"/>
      <c r="GG248" s="252"/>
      <c r="GH248" s="252"/>
      <c r="GI248" s="252"/>
      <c r="GJ248" s="252"/>
      <c r="GK248" s="252"/>
      <c r="GL248" s="252"/>
      <c r="GM248" s="252"/>
      <c r="GN248" s="252"/>
      <c r="GO248" s="252"/>
      <c r="GP248" s="252"/>
      <c r="GQ248" s="252"/>
      <c r="GR248" s="252"/>
      <c r="GS248" s="252"/>
      <c r="GT248" s="252"/>
      <c r="GU248" s="252"/>
      <c r="GV248" s="252"/>
      <c r="GW248" s="252"/>
      <c r="GX248" s="252"/>
      <c r="GY248" s="252"/>
      <c r="GZ248" s="252"/>
      <c r="HA248" s="252"/>
      <c r="HB248" s="252"/>
      <c r="HC248" s="252"/>
      <c r="HD248" s="252"/>
      <c r="HE248" s="252"/>
      <c r="HF248" s="252"/>
      <c r="HG248" s="252"/>
      <c r="HH248" s="252"/>
      <c r="HI248" s="252"/>
      <c r="HJ248" s="252"/>
      <c r="HK248" s="252"/>
      <c r="HL248" s="252"/>
      <c r="HM248" s="252"/>
      <c r="HN248" s="252"/>
      <c r="HO248" s="252"/>
      <c r="HP248" s="252"/>
      <c r="HQ248" s="252"/>
      <c r="HR248" s="252"/>
      <c r="HS248" s="252"/>
      <c r="HT248" s="252"/>
      <c r="HU248" s="252"/>
      <c r="HV248" s="252"/>
      <c r="HW248" s="252"/>
      <c r="HX248" s="252"/>
      <c r="HY248" s="252"/>
      <c r="HZ248" s="252"/>
      <c r="IA248" s="252"/>
      <c r="IB248" s="252"/>
      <c r="IC248" s="252"/>
      <c r="ID248" s="252"/>
      <c r="IE248" s="252"/>
      <c r="IF248" s="252"/>
    </row>
    <row r="249" spans="1:240" s="260" customFormat="1" hidden="1" x14ac:dyDescent="0.25">
      <c r="A249" s="215"/>
      <c r="B249" s="126"/>
      <c r="C249" s="223"/>
      <c r="D249" s="243"/>
      <c r="E249" s="20"/>
      <c r="F249" s="28"/>
      <c r="G249" s="28">
        <f t="shared" si="78"/>
        <v>0.03</v>
      </c>
      <c r="H249" s="222"/>
      <c r="I249" s="222"/>
      <c r="J249" s="222"/>
      <c r="K249" s="222"/>
      <c r="L249" s="222"/>
      <c r="M249" s="222"/>
      <c r="N249" s="222"/>
      <c r="O249" s="222"/>
      <c r="P249" s="222"/>
      <c r="Q249" s="222"/>
      <c r="R249" s="222"/>
      <c r="S249" s="222"/>
      <c r="T249" s="222"/>
      <c r="U249" s="238"/>
      <c r="V249" s="92"/>
      <c r="W249" s="92"/>
      <c r="X249" s="92"/>
      <c r="Y249" s="92"/>
      <c r="Z249" s="92"/>
      <c r="AA249" s="92"/>
      <c r="AB249" s="92"/>
      <c r="AC249" s="92"/>
      <c r="AD249" s="92"/>
      <c r="AE249" s="92"/>
      <c r="AF249" s="92"/>
      <c r="AG249" s="92"/>
      <c r="AH249" s="92"/>
      <c r="AI249" s="92"/>
      <c r="AJ249" s="92">
        <v>0.03</v>
      </c>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241" t="s">
        <v>1133</v>
      </c>
      <c r="BI249" s="223"/>
      <c r="BJ249" s="232" t="s">
        <v>1118</v>
      </c>
      <c r="BK249" s="241"/>
      <c r="BL249" s="218"/>
      <c r="BM249" s="226"/>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c r="CH249" s="252"/>
      <c r="CI249" s="252"/>
      <c r="CJ249" s="252"/>
      <c r="CK249" s="252"/>
      <c r="CL249" s="252"/>
      <c r="CM249" s="252"/>
      <c r="CN249" s="252"/>
      <c r="CO249" s="252"/>
      <c r="CP249" s="252"/>
      <c r="CQ249" s="252"/>
      <c r="CR249" s="252"/>
      <c r="CS249" s="252"/>
      <c r="CT249" s="252"/>
      <c r="CU249" s="252"/>
      <c r="CV249" s="252"/>
      <c r="CW249" s="252"/>
      <c r="CX249" s="252"/>
      <c r="CY249" s="252"/>
      <c r="CZ249" s="252"/>
      <c r="DA249" s="252"/>
      <c r="DB249" s="252"/>
      <c r="DC249" s="252"/>
      <c r="DD249" s="252"/>
      <c r="DE249" s="252"/>
      <c r="DF249" s="252"/>
      <c r="DG249" s="252"/>
      <c r="DH249" s="252"/>
      <c r="DI249" s="252"/>
      <c r="DJ249" s="252"/>
      <c r="DK249" s="252"/>
      <c r="DL249" s="252"/>
      <c r="DM249" s="252"/>
      <c r="DN249" s="252"/>
      <c r="DO249" s="252"/>
      <c r="DP249" s="252"/>
      <c r="DQ249" s="252"/>
      <c r="DR249" s="252"/>
      <c r="DS249" s="252"/>
      <c r="DT249" s="252"/>
      <c r="DU249" s="252"/>
      <c r="DV249" s="252"/>
      <c r="DW249" s="252"/>
      <c r="DX249" s="252"/>
      <c r="DY249" s="252"/>
      <c r="DZ249" s="252"/>
      <c r="EA249" s="252"/>
      <c r="EB249" s="252"/>
      <c r="EC249" s="252"/>
      <c r="ED249" s="252"/>
      <c r="EE249" s="252"/>
      <c r="EF249" s="252"/>
      <c r="EG249" s="252"/>
      <c r="EH249" s="252"/>
      <c r="EI249" s="252"/>
      <c r="EJ249" s="252"/>
      <c r="EK249" s="252"/>
      <c r="EL249" s="252"/>
      <c r="EM249" s="252"/>
      <c r="EN249" s="252"/>
      <c r="EO249" s="252"/>
      <c r="EP249" s="252"/>
      <c r="EQ249" s="252"/>
      <c r="ER249" s="252"/>
      <c r="ES249" s="252"/>
      <c r="ET249" s="252"/>
      <c r="EU249" s="252"/>
      <c r="EV249" s="252"/>
      <c r="EW249" s="252"/>
      <c r="EX249" s="252"/>
      <c r="EY249" s="252"/>
      <c r="EZ249" s="252"/>
      <c r="FA249" s="252"/>
      <c r="FB249" s="252"/>
      <c r="FC249" s="252"/>
      <c r="FD249" s="252"/>
      <c r="FE249" s="252"/>
      <c r="FF249" s="252"/>
      <c r="FG249" s="252"/>
      <c r="FH249" s="252"/>
      <c r="FI249" s="252"/>
      <c r="FJ249" s="252"/>
      <c r="FK249" s="252"/>
      <c r="FL249" s="252"/>
      <c r="FM249" s="252"/>
      <c r="FN249" s="252"/>
      <c r="FO249" s="252"/>
      <c r="FP249" s="252"/>
      <c r="FQ249" s="252"/>
      <c r="FR249" s="252"/>
      <c r="FS249" s="252"/>
      <c r="FT249" s="252"/>
      <c r="FU249" s="252"/>
      <c r="FV249" s="252"/>
      <c r="FW249" s="252"/>
      <c r="FX249" s="252"/>
      <c r="FY249" s="252"/>
      <c r="FZ249" s="252"/>
      <c r="GA249" s="252"/>
      <c r="GB249" s="252"/>
      <c r="GC249" s="252"/>
      <c r="GD249" s="252"/>
      <c r="GE249" s="252"/>
      <c r="GF249" s="252"/>
      <c r="GG249" s="252"/>
      <c r="GH249" s="252"/>
      <c r="GI249" s="252"/>
      <c r="GJ249" s="252"/>
      <c r="GK249" s="252"/>
      <c r="GL249" s="252"/>
      <c r="GM249" s="252"/>
      <c r="GN249" s="252"/>
      <c r="GO249" s="252"/>
      <c r="GP249" s="252"/>
      <c r="GQ249" s="252"/>
      <c r="GR249" s="252"/>
      <c r="GS249" s="252"/>
      <c r="GT249" s="252"/>
      <c r="GU249" s="252"/>
      <c r="GV249" s="252"/>
      <c r="GW249" s="252"/>
      <c r="GX249" s="252"/>
      <c r="GY249" s="252"/>
      <c r="GZ249" s="252"/>
      <c r="HA249" s="252"/>
      <c r="HB249" s="252"/>
      <c r="HC249" s="252"/>
      <c r="HD249" s="252"/>
      <c r="HE249" s="252"/>
      <c r="HF249" s="252"/>
      <c r="HG249" s="252"/>
      <c r="HH249" s="252"/>
      <c r="HI249" s="252"/>
      <c r="HJ249" s="252"/>
      <c r="HK249" s="252"/>
      <c r="HL249" s="252"/>
      <c r="HM249" s="252"/>
      <c r="HN249" s="252"/>
      <c r="HO249" s="252"/>
      <c r="HP249" s="252"/>
      <c r="HQ249" s="252"/>
      <c r="HR249" s="252"/>
      <c r="HS249" s="252"/>
      <c r="HT249" s="252"/>
      <c r="HU249" s="252"/>
      <c r="HV249" s="252"/>
      <c r="HW249" s="252"/>
      <c r="HX249" s="252"/>
      <c r="HY249" s="252"/>
      <c r="HZ249" s="252"/>
      <c r="IA249" s="252"/>
      <c r="IB249" s="252"/>
      <c r="IC249" s="252"/>
      <c r="ID249" s="252"/>
      <c r="IE249" s="252"/>
      <c r="IF249" s="252"/>
    </row>
    <row r="250" spans="1:240" s="260" customFormat="1" hidden="1" x14ac:dyDescent="0.25">
      <c r="A250" s="215"/>
      <c r="B250" s="126"/>
      <c r="C250" s="223"/>
      <c r="D250" s="243"/>
      <c r="E250" s="20"/>
      <c r="F250" s="28"/>
      <c r="G250" s="28">
        <f t="shared" si="78"/>
        <v>0.05</v>
      </c>
      <c r="H250" s="222"/>
      <c r="I250" s="222"/>
      <c r="J250" s="222"/>
      <c r="K250" s="222"/>
      <c r="L250" s="222"/>
      <c r="M250" s="222"/>
      <c r="N250" s="222"/>
      <c r="O250" s="222"/>
      <c r="P250" s="222"/>
      <c r="Q250" s="222"/>
      <c r="R250" s="222"/>
      <c r="S250" s="222"/>
      <c r="T250" s="222"/>
      <c r="U250" s="238"/>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v>0.05</v>
      </c>
      <c r="BH250" s="241" t="s">
        <v>1134</v>
      </c>
      <c r="BI250" s="223"/>
      <c r="BJ250" s="232" t="s">
        <v>1119</v>
      </c>
      <c r="BK250" s="241"/>
      <c r="BL250" s="218"/>
      <c r="BM250" s="226"/>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c r="CH250" s="252"/>
      <c r="CI250" s="252"/>
      <c r="CJ250" s="252"/>
      <c r="CK250" s="252"/>
      <c r="CL250" s="252"/>
      <c r="CM250" s="252"/>
      <c r="CN250" s="252"/>
      <c r="CO250" s="252"/>
      <c r="CP250" s="252"/>
      <c r="CQ250" s="252"/>
      <c r="CR250" s="252"/>
      <c r="CS250" s="252"/>
      <c r="CT250" s="252"/>
      <c r="CU250" s="252"/>
      <c r="CV250" s="252"/>
      <c r="CW250" s="252"/>
      <c r="CX250" s="252"/>
      <c r="CY250" s="252"/>
      <c r="CZ250" s="252"/>
      <c r="DA250" s="252"/>
      <c r="DB250" s="252"/>
      <c r="DC250" s="252"/>
      <c r="DD250" s="252"/>
      <c r="DE250" s="252"/>
      <c r="DF250" s="252"/>
      <c r="DG250" s="252"/>
      <c r="DH250" s="252"/>
      <c r="DI250" s="252"/>
      <c r="DJ250" s="252"/>
      <c r="DK250" s="252"/>
      <c r="DL250" s="252"/>
      <c r="DM250" s="252"/>
      <c r="DN250" s="252"/>
      <c r="DO250" s="252"/>
      <c r="DP250" s="252"/>
      <c r="DQ250" s="252"/>
      <c r="DR250" s="252"/>
      <c r="DS250" s="252"/>
      <c r="DT250" s="252"/>
      <c r="DU250" s="252"/>
      <c r="DV250" s="252"/>
      <c r="DW250" s="252"/>
      <c r="DX250" s="252"/>
      <c r="DY250" s="252"/>
      <c r="DZ250" s="252"/>
      <c r="EA250" s="252"/>
      <c r="EB250" s="252"/>
      <c r="EC250" s="252"/>
      <c r="ED250" s="252"/>
      <c r="EE250" s="252"/>
      <c r="EF250" s="252"/>
      <c r="EG250" s="252"/>
      <c r="EH250" s="252"/>
      <c r="EI250" s="252"/>
      <c r="EJ250" s="252"/>
      <c r="EK250" s="252"/>
      <c r="EL250" s="252"/>
      <c r="EM250" s="252"/>
      <c r="EN250" s="252"/>
      <c r="EO250" s="252"/>
      <c r="EP250" s="252"/>
      <c r="EQ250" s="252"/>
      <c r="ER250" s="252"/>
      <c r="ES250" s="252"/>
      <c r="ET250" s="252"/>
      <c r="EU250" s="252"/>
      <c r="EV250" s="252"/>
      <c r="EW250" s="252"/>
      <c r="EX250" s="252"/>
      <c r="EY250" s="252"/>
      <c r="EZ250" s="252"/>
      <c r="FA250" s="252"/>
      <c r="FB250" s="252"/>
      <c r="FC250" s="252"/>
      <c r="FD250" s="252"/>
      <c r="FE250" s="252"/>
      <c r="FF250" s="252"/>
      <c r="FG250" s="252"/>
      <c r="FH250" s="252"/>
      <c r="FI250" s="252"/>
      <c r="FJ250" s="252"/>
      <c r="FK250" s="252"/>
      <c r="FL250" s="252"/>
      <c r="FM250" s="252"/>
      <c r="FN250" s="252"/>
      <c r="FO250" s="252"/>
      <c r="FP250" s="252"/>
      <c r="FQ250" s="252"/>
      <c r="FR250" s="252"/>
      <c r="FS250" s="252"/>
      <c r="FT250" s="252"/>
      <c r="FU250" s="252"/>
      <c r="FV250" s="252"/>
      <c r="FW250" s="252"/>
      <c r="FX250" s="252"/>
      <c r="FY250" s="252"/>
      <c r="FZ250" s="252"/>
      <c r="GA250" s="252"/>
      <c r="GB250" s="252"/>
      <c r="GC250" s="252"/>
      <c r="GD250" s="252"/>
      <c r="GE250" s="252"/>
      <c r="GF250" s="252"/>
      <c r="GG250" s="252"/>
      <c r="GH250" s="252"/>
      <c r="GI250" s="252"/>
      <c r="GJ250" s="252"/>
      <c r="GK250" s="252"/>
      <c r="GL250" s="252"/>
      <c r="GM250" s="252"/>
      <c r="GN250" s="252"/>
      <c r="GO250" s="252"/>
      <c r="GP250" s="252"/>
      <c r="GQ250" s="252"/>
      <c r="GR250" s="252"/>
      <c r="GS250" s="252"/>
      <c r="GT250" s="252"/>
      <c r="GU250" s="252"/>
      <c r="GV250" s="252"/>
      <c r="GW250" s="252"/>
      <c r="GX250" s="252"/>
      <c r="GY250" s="252"/>
      <c r="GZ250" s="252"/>
      <c r="HA250" s="252"/>
      <c r="HB250" s="252"/>
      <c r="HC250" s="252"/>
      <c r="HD250" s="252"/>
      <c r="HE250" s="252"/>
      <c r="HF250" s="252"/>
      <c r="HG250" s="252"/>
      <c r="HH250" s="252"/>
      <c r="HI250" s="252"/>
      <c r="HJ250" s="252"/>
      <c r="HK250" s="252"/>
      <c r="HL250" s="252"/>
      <c r="HM250" s="252"/>
      <c r="HN250" s="252"/>
      <c r="HO250" s="252"/>
      <c r="HP250" s="252"/>
      <c r="HQ250" s="252"/>
      <c r="HR250" s="252"/>
      <c r="HS250" s="252"/>
      <c r="HT250" s="252"/>
      <c r="HU250" s="252"/>
      <c r="HV250" s="252"/>
      <c r="HW250" s="252"/>
      <c r="HX250" s="252"/>
      <c r="HY250" s="252"/>
      <c r="HZ250" s="252"/>
      <c r="IA250" s="252"/>
      <c r="IB250" s="252"/>
      <c r="IC250" s="252"/>
      <c r="ID250" s="252"/>
      <c r="IE250" s="252"/>
      <c r="IF250" s="252"/>
    </row>
    <row r="251" spans="1:240" s="260" customFormat="1" hidden="1" x14ac:dyDescent="0.25">
      <c r="A251" s="215"/>
      <c r="B251" s="126"/>
      <c r="C251" s="223"/>
      <c r="D251" s="243"/>
      <c r="E251" s="20"/>
      <c r="F251" s="28"/>
      <c r="G251" s="28">
        <f t="shared" si="78"/>
        <v>0.06</v>
      </c>
      <c r="H251" s="222"/>
      <c r="I251" s="222"/>
      <c r="J251" s="222"/>
      <c r="K251" s="222"/>
      <c r="L251" s="222">
        <v>0.06</v>
      </c>
      <c r="M251" s="222"/>
      <c r="N251" s="222"/>
      <c r="O251" s="222"/>
      <c r="P251" s="222"/>
      <c r="Q251" s="222"/>
      <c r="R251" s="222"/>
      <c r="S251" s="222"/>
      <c r="T251" s="222"/>
      <c r="U251" s="238"/>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241" t="s">
        <v>1135</v>
      </c>
      <c r="BI251" s="223"/>
      <c r="BJ251" s="232" t="s">
        <v>1120</v>
      </c>
      <c r="BK251" s="241"/>
      <c r="BL251" s="218"/>
      <c r="BM251" s="226"/>
      <c r="BN251" s="252"/>
      <c r="BO251" s="252"/>
      <c r="BP251" s="252"/>
      <c r="BQ251" s="252"/>
      <c r="BR251" s="252"/>
      <c r="BS251" s="252"/>
      <c r="BT251" s="252"/>
      <c r="BU251" s="252"/>
      <c r="BV251" s="252"/>
      <c r="BW251" s="252"/>
      <c r="BX251" s="252"/>
      <c r="BY251" s="252"/>
      <c r="BZ251" s="252"/>
      <c r="CA251" s="252"/>
      <c r="CB251" s="252"/>
      <c r="CC251" s="252"/>
      <c r="CD251" s="252"/>
      <c r="CE251" s="252"/>
      <c r="CF251" s="252"/>
      <c r="CG251" s="252"/>
      <c r="CH251" s="252"/>
      <c r="CI251" s="252"/>
      <c r="CJ251" s="252"/>
      <c r="CK251" s="252"/>
      <c r="CL251" s="252"/>
      <c r="CM251" s="252"/>
      <c r="CN251" s="252"/>
      <c r="CO251" s="252"/>
      <c r="CP251" s="252"/>
      <c r="CQ251" s="252"/>
      <c r="CR251" s="252"/>
      <c r="CS251" s="252"/>
      <c r="CT251" s="252"/>
      <c r="CU251" s="252"/>
      <c r="CV251" s="252"/>
      <c r="CW251" s="252"/>
      <c r="CX251" s="252"/>
      <c r="CY251" s="252"/>
      <c r="CZ251" s="252"/>
      <c r="DA251" s="252"/>
      <c r="DB251" s="252"/>
      <c r="DC251" s="252"/>
      <c r="DD251" s="252"/>
      <c r="DE251" s="252"/>
      <c r="DF251" s="252"/>
      <c r="DG251" s="252"/>
      <c r="DH251" s="252"/>
      <c r="DI251" s="252"/>
      <c r="DJ251" s="252"/>
      <c r="DK251" s="252"/>
      <c r="DL251" s="252"/>
      <c r="DM251" s="252"/>
      <c r="DN251" s="252"/>
      <c r="DO251" s="252"/>
      <c r="DP251" s="252"/>
      <c r="DQ251" s="252"/>
      <c r="DR251" s="252"/>
      <c r="DS251" s="252"/>
      <c r="DT251" s="252"/>
      <c r="DU251" s="252"/>
      <c r="DV251" s="252"/>
      <c r="DW251" s="252"/>
      <c r="DX251" s="252"/>
      <c r="DY251" s="252"/>
      <c r="DZ251" s="252"/>
      <c r="EA251" s="252"/>
      <c r="EB251" s="252"/>
      <c r="EC251" s="252"/>
      <c r="ED251" s="252"/>
      <c r="EE251" s="252"/>
      <c r="EF251" s="252"/>
      <c r="EG251" s="252"/>
      <c r="EH251" s="252"/>
      <c r="EI251" s="252"/>
      <c r="EJ251" s="252"/>
      <c r="EK251" s="252"/>
      <c r="EL251" s="252"/>
      <c r="EM251" s="252"/>
      <c r="EN251" s="252"/>
      <c r="EO251" s="252"/>
      <c r="EP251" s="252"/>
      <c r="EQ251" s="252"/>
      <c r="ER251" s="252"/>
      <c r="ES251" s="252"/>
      <c r="ET251" s="252"/>
      <c r="EU251" s="252"/>
      <c r="EV251" s="252"/>
      <c r="EW251" s="252"/>
      <c r="EX251" s="252"/>
      <c r="EY251" s="252"/>
      <c r="EZ251" s="252"/>
      <c r="FA251" s="252"/>
      <c r="FB251" s="252"/>
      <c r="FC251" s="252"/>
      <c r="FD251" s="252"/>
      <c r="FE251" s="252"/>
      <c r="FF251" s="252"/>
      <c r="FG251" s="252"/>
      <c r="FH251" s="252"/>
      <c r="FI251" s="252"/>
      <c r="FJ251" s="252"/>
      <c r="FK251" s="252"/>
      <c r="FL251" s="252"/>
      <c r="FM251" s="252"/>
      <c r="FN251" s="252"/>
      <c r="FO251" s="252"/>
      <c r="FP251" s="252"/>
      <c r="FQ251" s="252"/>
      <c r="FR251" s="252"/>
      <c r="FS251" s="252"/>
      <c r="FT251" s="252"/>
      <c r="FU251" s="252"/>
      <c r="FV251" s="252"/>
      <c r="FW251" s="252"/>
      <c r="FX251" s="252"/>
      <c r="FY251" s="252"/>
      <c r="FZ251" s="252"/>
      <c r="GA251" s="252"/>
      <c r="GB251" s="252"/>
      <c r="GC251" s="252"/>
      <c r="GD251" s="252"/>
      <c r="GE251" s="252"/>
      <c r="GF251" s="252"/>
      <c r="GG251" s="252"/>
      <c r="GH251" s="252"/>
      <c r="GI251" s="252"/>
      <c r="GJ251" s="252"/>
      <c r="GK251" s="252"/>
      <c r="GL251" s="252"/>
      <c r="GM251" s="252"/>
      <c r="GN251" s="252"/>
      <c r="GO251" s="252"/>
      <c r="GP251" s="252"/>
      <c r="GQ251" s="252"/>
      <c r="GR251" s="252"/>
      <c r="GS251" s="252"/>
      <c r="GT251" s="252"/>
      <c r="GU251" s="252"/>
      <c r="GV251" s="252"/>
      <c r="GW251" s="252"/>
      <c r="GX251" s="252"/>
      <c r="GY251" s="252"/>
      <c r="GZ251" s="252"/>
      <c r="HA251" s="252"/>
      <c r="HB251" s="252"/>
      <c r="HC251" s="252"/>
      <c r="HD251" s="252"/>
      <c r="HE251" s="252"/>
      <c r="HF251" s="252"/>
      <c r="HG251" s="252"/>
      <c r="HH251" s="252"/>
      <c r="HI251" s="252"/>
      <c r="HJ251" s="252"/>
      <c r="HK251" s="252"/>
      <c r="HL251" s="252"/>
      <c r="HM251" s="252"/>
      <c r="HN251" s="252"/>
      <c r="HO251" s="252"/>
      <c r="HP251" s="252"/>
      <c r="HQ251" s="252"/>
      <c r="HR251" s="252"/>
      <c r="HS251" s="252"/>
      <c r="HT251" s="252"/>
      <c r="HU251" s="252"/>
      <c r="HV251" s="252"/>
      <c r="HW251" s="252"/>
      <c r="HX251" s="252"/>
      <c r="HY251" s="252"/>
      <c r="HZ251" s="252"/>
      <c r="IA251" s="252"/>
      <c r="IB251" s="252"/>
      <c r="IC251" s="252"/>
      <c r="ID251" s="252"/>
      <c r="IE251" s="252"/>
      <c r="IF251" s="252"/>
    </row>
    <row r="252" spans="1:240" s="260" customFormat="1" hidden="1" x14ac:dyDescent="0.25">
      <c r="A252" s="215"/>
      <c r="B252" s="126"/>
      <c r="C252" s="223"/>
      <c r="D252" s="243"/>
      <c r="E252" s="20"/>
      <c r="F252" s="28"/>
      <c r="G252" s="28">
        <f t="shared" si="78"/>
        <v>0.05</v>
      </c>
      <c r="H252" s="222"/>
      <c r="I252" s="222"/>
      <c r="J252" s="222"/>
      <c r="K252" s="222"/>
      <c r="L252" s="222">
        <v>0.05</v>
      </c>
      <c r="M252" s="222"/>
      <c r="N252" s="222"/>
      <c r="O252" s="222"/>
      <c r="P252" s="222"/>
      <c r="Q252" s="222"/>
      <c r="R252" s="222"/>
      <c r="S252" s="222"/>
      <c r="T252" s="222"/>
      <c r="U252" s="238"/>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241" t="s">
        <v>1136</v>
      </c>
      <c r="BI252" s="223"/>
      <c r="BJ252" s="232" t="s">
        <v>1121</v>
      </c>
      <c r="BK252" s="241"/>
      <c r="BL252" s="218"/>
      <c r="BM252" s="226"/>
      <c r="BN252" s="252"/>
      <c r="BO252" s="252"/>
      <c r="BP252" s="252"/>
      <c r="BQ252" s="252"/>
      <c r="BR252" s="252"/>
      <c r="BS252" s="252"/>
      <c r="BT252" s="252"/>
      <c r="BU252" s="252"/>
      <c r="BV252" s="252"/>
      <c r="BW252" s="252"/>
      <c r="BX252" s="252"/>
      <c r="BY252" s="252"/>
      <c r="BZ252" s="252"/>
      <c r="CA252" s="252"/>
      <c r="CB252" s="252"/>
      <c r="CC252" s="252"/>
      <c r="CD252" s="252"/>
      <c r="CE252" s="252"/>
      <c r="CF252" s="252"/>
      <c r="CG252" s="252"/>
      <c r="CH252" s="252"/>
      <c r="CI252" s="252"/>
      <c r="CJ252" s="252"/>
      <c r="CK252" s="252"/>
      <c r="CL252" s="252"/>
      <c r="CM252" s="252"/>
      <c r="CN252" s="252"/>
      <c r="CO252" s="252"/>
      <c r="CP252" s="252"/>
      <c r="CQ252" s="252"/>
      <c r="CR252" s="252"/>
      <c r="CS252" s="252"/>
      <c r="CT252" s="252"/>
      <c r="CU252" s="252"/>
      <c r="CV252" s="252"/>
      <c r="CW252" s="252"/>
      <c r="CX252" s="252"/>
      <c r="CY252" s="252"/>
      <c r="CZ252" s="252"/>
      <c r="DA252" s="252"/>
      <c r="DB252" s="252"/>
      <c r="DC252" s="252"/>
      <c r="DD252" s="252"/>
      <c r="DE252" s="252"/>
      <c r="DF252" s="252"/>
      <c r="DG252" s="252"/>
      <c r="DH252" s="252"/>
      <c r="DI252" s="252"/>
      <c r="DJ252" s="252"/>
      <c r="DK252" s="252"/>
      <c r="DL252" s="252"/>
      <c r="DM252" s="252"/>
      <c r="DN252" s="252"/>
      <c r="DO252" s="252"/>
      <c r="DP252" s="252"/>
      <c r="DQ252" s="252"/>
      <c r="DR252" s="252"/>
      <c r="DS252" s="252"/>
      <c r="DT252" s="252"/>
      <c r="DU252" s="252"/>
      <c r="DV252" s="252"/>
      <c r="DW252" s="252"/>
      <c r="DX252" s="252"/>
      <c r="DY252" s="252"/>
      <c r="DZ252" s="252"/>
      <c r="EA252" s="252"/>
      <c r="EB252" s="252"/>
      <c r="EC252" s="252"/>
      <c r="ED252" s="252"/>
      <c r="EE252" s="252"/>
      <c r="EF252" s="252"/>
      <c r="EG252" s="252"/>
      <c r="EH252" s="252"/>
      <c r="EI252" s="252"/>
      <c r="EJ252" s="252"/>
      <c r="EK252" s="252"/>
      <c r="EL252" s="252"/>
      <c r="EM252" s="252"/>
      <c r="EN252" s="252"/>
      <c r="EO252" s="252"/>
      <c r="EP252" s="252"/>
      <c r="EQ252" s="252"/>
      <c r="ER252" s="252"/>
      <c r="ES252" s="252"/>
      <c r="ET252" s="252"/>
      <c r="EU252" s="252"/>
      <c r="EV252" s="252"/>
      <c r="EW252" s="252"/>
      <c r="EX252" s="252"/>
      <c r="EY252" s="252"/>
      <c r="EZ252" s="252"/>
      <c r="FA252" s="252"/>
      <c r="FB252" s="252"/>
      <c r="FC252" s="252"/>
      <c r="FD252" s="252"/>
      <c r="FE252" s="252"/>
      <c r="FF252" s="252"/>
      <c r="FG252" s="252"/>
      <c r="FH252" s="252"/>
      <c r="FI252" s="252"/>
      <c r="FJ252" s="252"/>
      <c r="FK252" s="252"/>
      <c r="FL252" s="252"/>
      <c r="FM252" s="252"/>
      <c r="FN252" s="252"/>
      <c r="FO252" s="252"/>
      <c r="FP252" s="252"/>
      <c r="FQ252" s="252"/>
      <c r="FR252" s="252"/>
      <c r="FS252" s="252"/>
      <c r="FT252" s="252"/>
      <c r="FU252" s="252"/>
      <c r="FV252" s="252"/>
      <c r="FW252" s="252"/>
      <c r="FX252" s="252"/>
      <c r="FY252" s="252"/>
      <c r="FZ252" s="252"/>
      <c r="GA252" s="252"/>
      <c r="GB252" s="252"/>
      <c r="GC252" s="252"/>
      <c r="GD252" s="252"/>
      <c r="GE252" s="252"/>
      <c r="GF252" s="252"/>
      <c r="GG252" s="252"/>
      <c r="GH252" s="252"/>
      <c r="GI252" s="252"/>
      <c r="GJ252" s="252"/>
      <c r="GK252" s="252"/>
      <c r="GL252" s="252"/>
      <c r="GM252" s="252"/>
      <c r="GN252" s="252"/>
      <c r="GO252" s="252"/>
      <c r="GP252" s="252"/>
      <c r="GQ252" s="252"/>
      <c r="GR252" s="252"/>
      <c r="GS252" s="252"/>
      <c r="GT252" s="252"/>
      <c r="GU252" s="252"/>
      <c r="GV252" s="252"/>
      <c r="GW252" s="252"/>
      <c r="GX252" s="252"/>
      <c r="GY252" s="252"/>
      <c r="GZ252" s="252"/>
      <c r="HA252" s="252"/>
      <c r="HB252" s="252"/>
      <c r="HC252" s="252"/>
      <c r="HD252" s="252"/>
      <c r="HE252" s="252"/>
      <c r="HF252" s="252"/>
      <c r="HG252" s="252"/>
      <c r="HH252" s="252"/>
      <c r="HI252" s="252"/>
      <c r="HJ252" s="252"/>
      <c r="HK252" s="252"/>
      <c r="HL252" s="252"/>
      <c r="HM252" s="252"/>
      <c r="HN252" s="252"/>
      <c r="HO252" s="252"/>
      <c r="HP252" s="252"/>
      <c r="HQ252" s="252"/>
      <c r="HR252" s="252"/>
      <c r="HS252" s="252"/>
      <c r="HT252" s="252"/>
      <c r="HU252" s="252"/>
      <c r="HV252" s="252"/>
      <c r="HW252" s="252"/>
      <c r="HX252" s="252"/>
      <c r="HY252" s="252"/>
      <c r="HZ252" s="252"/>
      <c r="IA252" s="252"/>
      <c r="IB252" s="252"/>
      <c r="IC252" s="252"/>
      <c r="ID252" s="252"/>
      <c r="IE252" s="252"/>
      <c r="IF252" s="252"/>
    </row>
    <row r="253" spans="1:240" s="260" customFormat="1" hidden="1" x14ac:dyDescent="0.25">
      <c r="A253" s="215"/>
      <c r="B253" s="126"/>
      <c r="C253" s="223"/>
      <c r="D253" s="243"/>
      <c r="E253" s="20"/>
      <c r="F253" s="28"/>
      <c r="G253" s="28">
        <f t="shared" si="78"/>
        <v>0.06</v>
      </c>
      <c r="H253" s="222"/>
      <c r="I253" s="222"/>
      <c r="J253" s="222"/>
      <c r="K253" s="222">
        <v>0.06</v>
      </c>
      <c r="L253" s="222"/>
      <c r="M253" s="222"/>
      <c r="N253" s="222"/>
      <c r="O253" s="222"/>
      <c r="P253" s="222"/>
      <c r="Q253" s="222"/>
      <c r="R253" s="222"/>
      <c r="S253" s="222"/>
      <c r="T253" s="222"/>
      <c r="U253" s="238"/>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241" t="s">
        <v>1137</v>
      </c>
      <c r="BI253" s="223"/>
      <c r="BJ253" s="232" t="s">
        <v>1122</v>
      </c>
      <c r="BK253" s="241"/>
      <c r="BL253" s="218"/>
      <c r="BM253" s="226"/>
      <c r="BN253" s="252"/>
      <c r="BO253" s="252"/>
      <c r="BP253" s="252"/>
      <c r="BQ253" s="252"/>
      <c r="BR253" s="252"/>
      <c r="BS253" s="252"/>
      <c r="BT253" s="252"/>
      <c r="BU253" s="252"/>
      <c r="BV253" s="252"/>
      <c r="BW253" s="252"/>
      <c r="BX253" s="252"/>
      <c r="BY253" s="252"/>
      <c r="BZ253" s="252"/>
      <c r="CA253" s="252"/>
      <c r="CB253" s="252"/>
      <c r="CC253" s="252"/>
      <c r="CD253" s="252"/>
      <c r="CE253" s="252"/>
      <c r="CF253" s="252"/>
      <c r="CG253" s="252"/>
      <c r="CH253" s="252"/>
      <c r="CI253" s="252"/>
      <c r="CJ253" s="252"/>
      <c r="CK253" s="252"/>
      <c r="CL253" s="252"/>
      <c r="CM253" s="252"/>
      <c r="CN253" s="252"/>
      <c r="CO253" s="252"/>
      <c r="CP253" s="252"/>
      <c r="CQ253" s="252"/>
      <c r="CR253" s="252"/>
      <c r="CS253" s="252"/>
      <c r="CT253" s="252"/>
      <c r="CU253" s="252"/>
      <c r="CV253" s="252"/>
      <c r="CW253" s="252"/>
      <c r="CX253" s="252"/>
      <c r="CY253" s="252"/>
      <c r="CZ253" s="252"/>
      <c r="DA253" s="252"/>
      <c r="DB253" s="252"/>
      <c r="DC253" s="252"/>
      <c r="DD253" s="252"/>
      <c r="DE253" s="252"/>
      <c r="DF253" s="252"/>
      <c r="DG253" s="252"/>
      <c r="DH253" s="252"/>
      <c r="DI253" s="252"/>
      <c r="DJ253" s="252"/>
      <c r="DK253" s="252"/>
      <c r="DL253" s="252"/>
      <c r="DM253" s="252"/>
      <c r="DN253" s="252"/>
      <c r="DO253" s="252"/>
      <c r="DP253" s="252"/>
      <c r="DQ253" s="252"/>
      <c r="DR253" s="252"/>
      <c r="DS253" s="252"/>
      <c r="DT253" s="252"/>
      <c r="DU253" s="252"/>
      <c r="DV253" s="252"/>
      <c r="DW253" s="252"/>
      <c r="DX253" s="252"/>
      <c r="DY253" s="252"/>
      <c r="DZ253" s="252"/>
      <c r="EA253" s="252"/>
      <c r="EB253" s="252"/>
      <c r="EC253" s="252"/>
      <c r="ED253" s="252"/>
      <c r="EE253" s="252"/>
      <c r="EF253" s="252"/>
      <c r="EG253" s="252"/>
      <c r="EH253" s="252"/>
      <c r="EI253" s="252"/>
      <c r="EJ253" s="252"/>
      <c r="EK253" s="252"/>
      <c r="EL253" s="252"/>
      <c r="EM253" s="252"/>
      <c r="EN253" s="252"/>
      <c r="EO253" s="252"/>
      <c r="EP253" s="252"/>
      <c r="EQ253" s="252"/>
      <c r="ER253" s="252"/>
      <c r="ES253" s="252"/>
      <c r="ET253" s="252"/>
      <c r="EU253" s="252"/>
      <c r="EV253" s="252"/>
      <c r="EW253" s="252"/>
      <c r="EX253" s="252"/>
      <c r="EY253" s="252"/>
      <c r="EZ253" s="252"/>
      <c r="FA253" s="252"/>
      <c r="FB253" s="252"/>
      <c r="FC253" s="252"/>
      <c r="FD253" s="252"/>
      <c r="FE253" s="252"/>
      <c r="FF253" s="252"/>
      <c r="FG253" s="252"/>
      <c r="FH253" s="252"/>
      <c r="FI253" s="252"/>
      <c r="FJ253" s="252"/>
      <c r="FK253" s="252"/>
      <c r="FL253" s="252"/>
      <c r="FM253" s="252"/>
      <c r="FN253" s="252"/>
      <c r="FO253" s="252"/>
      <c r="FP253" s="252"/>
      <c r="FQ253" s="252"/>
      <c r="FR253" s="252"/>
      <c r="FS253" s="252"/>
      <c r="FT253" s="252"/>
      <c r="FU253" s="252"/>
      <c r="FV253" s="252"/>
      <c r="FW253" s="252"/>
      <c r="FX253" s="252"/>
      <c r="FY253" s="252"/>
      <c r="FZ253" s="252"/>
      <c r="GA253" s="252"/>
      <c r="GB253" s="252"/>
      <c r="GC253" s="252"/>
      <c r="GD253" s="252"/>
      <c r="GE253" s="252"/>
      <c r="GF253" s="252"/>
      <c r="GG253" s="252"/>
      <c r="GH253" s="252"/>
      <c r="GI253" s="252"/>
      <c r="GJ253" s="252"/>
      <c r="GK253" s="252"/>
      <c r="GL253" s="252"/>
      <c r="GM253" s="252"/>
      <c r="GN253" s="252"/>
      <c r="GO253" s="252"/>
      <c r="GP253" s="252"/>
      <c r="GQ253" s="252"/>
      <c r="GR253" s="252"/>
      <c r="GS253" s="252"/>
      <c r="GT253" s="252"/>
      <c r="GU253" s="252"/>
      <c r="GV253" s="252"/>
      <c r="GW253" s="252"/>
      <c r="GX253" s="252"/>
      <c r="GY253" s="252"/>
      <c r="GZ253" s="252"/>
      <c r="HA253" s="252"/>
      <c r="HB253" s="252"/>
      <c r="HC253" s="252"/>
      <c r="HD253" s="252"/>
      <c r="HE253" s="252"/>
      <c r="HF253" s="252"/>
      <c r="HG253" s="252"/>
      <c r="HH253" s="252"/>
      <c r="HI253" s="252"/>
      <c r="HJ253" s="252"/>
      <c r="HK253" s="252"/>
      <c r="HL253" s="252"/>
      <c r="HM253" s="252"/>
      <c r="HN253" s="252"/>
      <c r="HO253" s="252"/>
      <c r="HP253" s="252"/>
      <c r="HQ253" s="252"/>
      <c r="HR253" s="252"/>
      <c r="HS253" s="252"/>
      <c r="HT253" s="252"/>
      <c r="HU253" s="252"/>
      <c r="HV253" s="252"/>
      <c r="HW253" s="252"/>
      <c r="HX253" s="252"/>
      <c r="HY253" s="252"/>
      <c r="HZ253" s="252"/>
      <c r="IA253" s="252"/>
      <c r="IB253" s="252"/>
      <c r="IC253" s="252"/>
      <c r="ID253" s="252"/>
      <c r="IE253" s="252"/>
      <c r="IF253" s="252"/>
    </row>
    <row r="254" spans="1:240" s="260" customFormat="1" hidden="1" x14ac:dyDescent="0.25">
      <c r="A254" s="215"/>
      <c r="B254" s="126"/>
      <c r="C254" s="223"/>
      <c r="D254" s="243"/>
      <c r="E254" s="20"/>
      <c r="F254" s="28"/>
      <c r="G254" s="28">
        <f t="shared" si="78"/>
        <v>0.04</v>
      </c>
      <c r="H254" s="222"/>
      <c r="I254" s="222"/>
      <c r="J254" s="222"/>
      <c r="K254" s="222"/>
      <c r="L254" s="222">
        <v>0.04</v>
      </c>
      <c r="M254" s="222"/>
      <c r="N254" s="222"/>
      <c r="O254" s="222"/>
      <c r="P254" s="222"/>
      <c r="Q254" s="222"/>
      <c r="R254" s="222"/>
      <c r="S254" s="222"/>
      <c r="T254" s="222"/>
      <c r="U254" s="238"/>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241" t="s">
        <v>1138</v>
      </c>
      <c r="BI254" s="223"/>
      <c r="BJ254" s="232" t="s">
        <v>1123</v>
      </c>
      <c r="BK254" s="241"/>
      <c r="BL254" s="218"/>
      <c r="BM254" s="226"/>
      <c r="BN254" s="252"/>
      <c r="BO254" s="252"/>
      <c r="BP254" s="252"/>
      <c r="BQ254" s="252"/>
      <c r="BR254" s="252"/>
      <c r="BS254" s="252"/>
      <c r="BT254" s="252"/>
      <c r="BU254" s="252"/>
      <c r="BV254" s="252"/>
      <c r="BW254" s="252"/>
      <c r="BX254" s="252"/>
      <c r="BY254" s="252"/>
      <c r="BZ254" s="252"/>
      <c r="CA254" s="252"/>
      <c r="CB254" s="252"/>
      <c r="CC254" s="252"/>
      <c r="CD254" s="252"/>
      <c r="CE254" s="252"/>
      <c r="CF254" s="252"/>
      <c r="CG254" s="252"/>
      <c r="CH254" s="252"/>
      <c r="CI254" s="252"/>
      <c r="CJ254" s="252"/>
      <c r="CK254" s="252"/>
      <c r="CL254" s="252"/>
      <c r="CM254" s="252"/>
      <c r="CN254" s="252"/>
      <c r="CO254" s="252"/>
      <c r="CP254" s="252"/>
      <c r="CQ254" s="252"/>
      <c r="CR254" s="252"/>
      <c r="CS254" s="252"/>
      <c r="CT254" s="252"/>
      <c r="CU254" s="252"/>
      <c r="CV254" s="252"/>
      <c r="CW254" s="252"/>
      <c r="CX254" s="252"/>
      <c r="CY254" s="252"/>
      <c r="CZ254" s="252"/>
      <c r="DA254" s="252"/>
      <c r="DB254" s="252"/>
      <c r="DC254" s="252"/>
      <c r="DD254" s="252"/>
      <c r="DE254" s="252"/>
      <c r="DF254" s="252"/>
      <c r="DG254" s="252"/>
      <c r="DH254" s="252"/>
      <c r="DI254" s="252"/>
      <c r="DJ254" s="252"/>
      <c r="DK254" s="252"/>
      <c r="DL254" s="252"/>
      <c r="DM254" s="252"/>
      <c r="DN254" s="252"/>
      <c r="DO254" s="252"/>
      <c r="DP254" s="252"/>
      <c r="DQ254" s="252"/>
      <c r="DR254" s="252"/>
      <c r="DS254" s="252"/>
      <c r="DT254" s="252"/>
      <c r="DU254" s="252"/>
      <c r="DV254" s="252"/>
      <c r="DW254" s="252"/>
      <c r="DX254" s="252"/>
      <c r="DY254" s="252"/>
      <c r="DZ254" s="252"/>
      <c r="EA254" s="252"/>
      <c r="EB254" s="252"/>
      <c r="EC254" s="252"/>
      <c r="ED254" s="252"/>
      <c r="EE254" s="252"/>
      <c r="EF254" s="252"/>
      <c r="EG254" s="252"/>
      <c r="EH254" s="252"/>
      <c r="EI254" s="252"/>
      <c r="EJ254" s="252"/>
      <c r="EK254" s="252"/>
      <c r="EL254" s="252"/>
      <c r="EM254" s="252"/>
      <c r="EN254" s="252"/>
      <c r="EO254" s="252"/>
      <c r="EP254" s="252"/>
      <c r="EQ254" s="252"/>
      <c r="ER254" s="252"/>
      <c r="ES254" s="252"/>
      <c r="ET254" s="252"/>
      <c r="EU254" s="252"/>
      <c r="EV254" s="252"/>
      <c r="EW254" s="252"/>
      <c r="EX254" s="252"/>
      <c r="EY254" s="252"/>
      <c r="EZ254" s="252"/>
      <c r="FA254" s="252"/>
      <c r="FB254" s="252"/>
      <c r="FC254" s="252"/>
      <c r="FD254" s="252"/>
      <c r="FE254" s="252"/>
      <c r="FF254" s="252"/>
      <c r="FG254" s="252"/>
      <c r="FH254" s="252"/>
      <c r="FI254" s="252"/>
      <c r="FJ254" s="252"/>
      <c r="FK254" s="252"/>
      <c r="FL254" s="252"/>
      <c r="FM254" s="252"/>
      <c r="FN254" s="252"/>
      <c r="FO254" s="252"/>
      <c r="FP254" s="252"/>
      <c r="FQ254" s="252"/>
      <c r="FR254" s="252"/>
      <c r="FS254" s="252"/>
      <c r="FT254" s="252"/>
      <c r="FU254" s="252"/>
      <c r="FV254" s="252"/>
      <c r="FW254" s="252"/>
      <c r="FX254" s="252"/>
      <c r="FY254" s="252"/>
      <c r="FZ254" s="252"/>
      <c r="GA254" s="252"/>
      <c r="GB254" s="252"/>
      <c r="GC254" s="252"/>
      <c r="GD254" s="252"/>
      <c r="GE254" s="252"/>
      <c r="GF254" s="252"/>
      <c r="GG254" s="252"/>
      <c r="GH254" s="252"/>
      <c r="GI254" s="252"/>
      <c r="GJ254" s="252"/>
      <c r="GK254" s="252"/>
      <c r="GL254" s="252"/>
      <c r="GM254" s="252"/>
      <c r="GN254" s="252"/>
      <c r="GO254" s="252"/>
      <c r="GP254" s="252"/>
      <c r="GQ254" s="252"/>
      <c r="GR254" s="252"/>
      <c r="GS254" s="252"/>
      <c r="GT254" s="252"/>
      <c r="GU254" s="252"/>
      <c r="GV254" s="252"/>
      <c r="GW254" s="252"/>
      <c r="GX254" s="252"/>
      <c r="GY254" s="252"/>
      <c r="GZ254" s="252"/>
      <c r="HA254" s="252"/>
      <c r="HB254" s="252"/>
      <c r="HC254" s="252"/>
      <c r="HD254" s="252"/>
      <c r="HE254" s="252"/>
      <c r="HF254" s="252"/>
      <c r="HG254" s="252"/>
      <c r="HH254" s="252"/>
      <c r="HI254" s="252"/>
      <c r="HJ254" s="252"/>
      <c r="HK254" s="252"/>
      <c r="HL254" s="252"/>
      <c r="HM254" s="252"/>
      <c r="HN254" s="252"/>
      <c r="HO254" s="252"/>
      <c r="HP254" s="252"/>
      <c r="HQ254" s="252"/>
      <c r="HR254" s="252"/>
      <c r="HS254" s="252"/>
      <c r="HT254" s="252"/>
      <c r="HU254" s="252"/>
      <c r="HV254" s="252"/>
      <c r="HW254" s="252"/>
      <c r="HX254" s="252"/>
      <c r="HY254" s="252"/>
      <c r="HZ254" s="252"/>
      <c r="IA254" s="252"/>
      <c r="IB254" s="252"/>
      <c r="IC254" s="252"/>
      <c r="ID254" s="252"/>
      <c r="IE254" s="252"/>
      <c r="IF254" s="252"/>
    </row>
    <row r="255" spans="1:240" s="260" customFormat="1" hidden="1" x14ac:dyDescent="0.25">
      <c r="A255" s="215"/>
      <c r="B255" s="126"/>
      <c r="C255" s="223"/>
      <c r="D255" s="243"/>
      <c r="E255" s="20"/>
      <c r="F255" s="28"/>
      <c r="G255" s="28">
        <f t="shared" si="78"/>
        <v>0.04</v>
      </c>
      <c r="H255" s="222"/>
      <c r="I255" s="222"/>
      <c r="J255" s="222"/>
      <c r="K255" s="222"/>
      <c r="L255" s="222">
        <v>0.04</v>
      </c>
      <c r="M255" s="222"/>
      <c r="N255" s="222"/>
      <c r="O255" s="222"/>
      <c r="P255" s="222"/>
      <c r="Q255" s="222"/>
      <c r="R255" s="222"/>
      <c r="S255" s="222"/>
      <c r="T255" s="222"/>
      <c r="U255" s="238"/>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241" t="s">
        <v>1139</v>
      </c>
      <c r="BI255" s="223"/>
      <c r="BJ255" s="232" t="s">
        <v>1124</v>
      </c>
      <c r="BK255" s="241"/>
      <c r="BL255" s="218"/>
      <c r="BM255" s="226"/>
      <c r="BN255" s="252"/>
      <c r="BO255" s="252"/>
      <c r="BP255" s="252"/>
      <c r="BQ255" s="252"/>
      <c r="BR255" s="252"/>
      <c r="BS255" s="252"/>
      <c r="BT255" s="252"/>
      <c r="BU255" s="252"/>
      <c r="BV255" s="252"/>
      <c r="BW255" s="252"/>
      <c r="BX255" s="252"/>
      <c r="BY255" s="252"/>
      <c r="BZ255" s="252"/>
      <c r="CA255" s="252"/>
      <c r="CB255" s="252"/>
      <c r="CC255" s="252"/>
      <c r="CD255" s="252"/>
      <c r="CE255" s="252"/>
      <c r="CF255" s="252"/>
      <c r="CG255" s="252"/>
      <c r="CH255" s="252"/>
      <c r="CI255" s="252"/>
      <c r="CJ255" s="252"/>
      <c r="CK255" s="252"/>
      <c r="CL255" s="252"/>
      <c r="CM255" s="252"/>
      <c r="CN255" s="252"/>
      <c r="CO255" s="252"/>
      <c r="CP255" s="252"/>
      <c r="CQ255" s="252"/>
      <c r="CR255" s="252"/>
      <c r="CS255" s="252"/>
      <c r="CT255" s="252"/>
      <c r="CU255" s="252"/>
      <c r="CV255" s="252"/>
      <c r="CW255" s="252"/>
      <c r="CX255" s="252"/>
      <c r="CY255" s="252"/>
      <c r="CZ255" s="252"/>
      <c r="DA255" s="252"/>
      <c r="DB255" s="252"/>
      <c r="DC255" s="252"/>
      <c r="DD255" s="252"/>
      <c r="DE255" s="252"/>
      <c r="DF255" s="252"/>
      <c r="DG255" s="252"/>
      <c r="DH255" s="252"/>
      <c r="DI255" s="252"/>
      <c r="DJ255" s="252"/>
      <c r="DK255" s="252"/>
      <c r="DL255" s="252"/>
      <c r="DM255" s="252"/>
      <c r="DN255" s="252"/>
      <c r="DO255" s="252"/>
      <c r="DP255" s="252"/>
      <c r="DQ255" s="252"/>
      <c r="DR255" s="252"/>
      <c r="DS255" s="252"/>
      <c r="DT255" s="252"/>
      <c r="DU255" s="252"/>
      <c r="DV255" s="252"/>
      <c r="DW255" s="252"/>
      <c r="DX255" s="252"/>
      <c r="DY255" s="252"/>
      <c r="DZ255" s="252"/>
      <c r="EA255" s="252"/>
      <c r="EB255" s="252"/>
      <c r="EC255" s="252"/>
      <c r="ED255" s="252"/>
      <c r="EE255" s="252"/>
      <c r="EF255" s="252"/>
      <c r="EG255" s="252"/>
      <c r="EH255" s="252"/>
      <c r="EI255" s="252"/>
      <c r="EJ255" s="252"/>
      <c r="EK255" s="252"/>
      <c r="EL255" s="252"/>
      <c r="EM255" s="252"/>
      <c r="EN255" s="252"/>
      <c r="EO255" s="252"/>
      <c r="EP255" s="252"/>
      <c r="EQ255" s="252"/>
      <c r="ER255" s="252"/>
      <c r="ES255" s="252"/>
      <c r="ET255" s="252"/>
      <c r="EU255" s="252"/>
      <c r="EV255" s="252"/>
      <c r="EW255" s="252"/>
      <c r="EX255" s="252"/>
      <c r="EY255" s="252"/>
      <c r="EZ255" s="252"/>
      <c r="FA255" s="252"/>
      <c r="FB255" s="252"/>
      <c r="FC255" s="252"/>
      <c r="FD255" s="252"/>
      <c r="FE255" s="252"/>
      <c r="FF255" s="252"/>
      <c r="FG255" s="252"/>
      <c r="FH255" s="252"/>
      <c r="FI255" s="252"/>
      <c r="FJ255" s="252"/>
      <c r="FK255" s="252"/>
      <c r="FL255" s="252"/>
      <c r="FM255" s="252"/>
      <c r="FN255" s="252"/>
      <c r="FO255" s="252"/>
      <c r="FP255" s="252"/>
      <c r="FQ255" s="252"/>
      <c r="FR255" s="252"/>
      <c r="FS255" s="252"/>
      <c r="FT255" s="252"/>
      <c r="FU255" s="252"/>
      <c r="FV255" s="252"/>
      <c r="FW255" s="252"/>
      <c r="FX255" s="252"/>
      <c r="FY255" s="252"/>
      <c r="FZ255" s="252"/>
      <c r="GA255" s="252"/>
      <c r="GB255" s="252"/>
      <c r="GC255" s="252"/>
      <c r="GD255" s="252"/>
      <c r="GE255" s="252"/>
      <c r="GF255" s="252"/>
      <c r="GG255" s="252"/>
      <c r="GH255" s="252"/>
      <c r="GI255" s="252"/>
      <c r="GJ255" s="252"/>
      <c r="GK255" s="252"/>
      <c r="GL255" s="252"/>
      <c r="GM255" s="252"/>
      <c r="GN255" s="252"/>
      <c r="GO255" s="252"/>
      <c r="GP255" s="252"/>
      <c r="GQ255" s="252"/>
      <c r="GR255" s="252"/>
      <c r="GS255" s="252"/>
      <c r="GT255" s="252"/>
      <c r="GU255" s="252"/>
      <c r="GV255" s="252"/>
      <c r="GW255" s="252"/>
      <c r="GX255" s="252"/>
      <c r="GY255" s="252"/>
      <c r="GZ255" s="252"/>
      <c r="HA255" s="252"/>
      <c r="HB255" s="252"/>
      <c r="HC255" s="252"/>
      <c r="HD255" s="252"/>
      <c r="HE255" s="252"/>
      <c r="HF255" s="252"/>
      <c r="HG255" s="252"/>
      <c r="HH255" s="252"/>
      <c r="HI255" s="252"/>
      <c r="HJ255" s="252"/>
      <c r="HK255" s="252"/>
      <c r="HL255" s="252"/>
      <c r="HM255" s="252"/>
      <c r="HN255" s="252"/>
      <c r="HO255" s="252"/>
      <c r="HP255" s="252"/>
      <c r="HQ255" s="252"/>
      <c r="HR255" s="252"/>
      <c r="HS255" s="252"/>
      <c r="HT255" s="252"/>
      <c r="HU255" s="252"/>
      <c r="HV255" s="252"/>
      <c r="HW255" s="252"/>
      <c r="HX255" s="252"/>
      <c r="HY255" s="252"/>
      <c r="HZ255" s="252"/>
      <c r="IA255" s="252"/>
      <c r="IB255" s="252"/>
      <c r="IC255" s="252"/>
      <c r="ID255" s="252"/>
      <c r="IE255" s="252"/>
      <c r="IF255" s="252"/>
    </row>
    <row r="256" spans="1:240" s="260" customFormat="1" ht="63" x14ac:dyDescent="0.25">
      <c r="A256" s="215">
        <f>A244+1</f>
        <v>162</v>
      </c>
      <c r="B256" s="126" t="s">
        <v>608</v>
      </c>
      <c r="C256" s="223" t="s">
        <v>106</v>
      </c>
      <c r="D256" s="243" t="s">
        <v>41</v>
      </c>
      <c r="E256" s="20">
        <v>0.13</v>
      </c>
      <c r="F256" s="28"/>
      <c r="G256" s="28">
        <v>0.13</v>
      </c>
      <c r="H256" s="222"/>
      <c r="I256" s="222"/>
      <c r="J256" s="222"/>
      <c r="K256" s="222">
        <v>0.06</v>
      </c>
      <c r="L256" s="222">
        <v>0.02</v>
      </c>
      <c r="M256" s="222"/>
      <c r="N256" s="222"/>
      <c r="O256" s="222"/>
      <c r="P256" s="222"/>
      <c r="Q256" s="222"/>
      <c r="R256" s="222"/>
      <c r="S256" s="222"/>
      <c r="T256" s="222"/>
      <c r="U256" s="238">
        <v>0.05</v>
      </c>
      <c r="V256" s="92">
        <v>0.02</v>
      </c>
      <c r="W256" s="92"/>
      <c r="X256" s="92">
        <v>0.03</v>
      </c>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63" t="s">
        <v>609</v>
      </c>
      <c r="BI256" s="223" t="s">
        <v>106</v>
      </c>
      <c r="BJ256" s="232" t="s">
        <v>610</v>
      </c>
      <c r="BK256" s="241" t="s">
        <v>120</v>
      </c>
      <c r="BL256" s="218" t="s">
        <v>202</v>
      </c>
      <c r="BM256" s="226" t="s">
        <v>206</v>
      </c>
      <c r="BN256" s="252"/>
      <c r="BO256" s="252"/>
      <c r="BP256" s="252"/>
      <c r="BQ256" s="252"/>
      <c r="BR256" s="252"/>
      <c r="BS256" s="252"/>
      <c r="BT256" s="252"/>
      <c r="BU256" s="252"/>
      <c r="BV256" s="252"/>
      <c r="BW256" s="252"/>
      <c r="BX256" s="252"/>
      <c r="BY256" s="252"/>
      <c r="BZ256" s="252"/>
      <c r="CA256" s="252"/>
      <c r="CB256" s="252"/>
      <c r="CC256" s="252"/>
      <c r="CD256" s="252"/>
      <c r="CE256" s="252"/>
      <c r="CF256" s="252"/>
      <c r="CG256" s="252"/>
      <c r="CH256" s="252"/>
      <c r="CI256" s="252"/>
      <c r="CJ256" s="252"/>
      <c r="CK256" s="252"/>
      <c r="CL256" s="252"/>
      <c r="CM256" s="252"/>
      <c r="CN256" s="252"/>
      <c r="CO256" s="252"/>
      <c r="CP256" s="252"/>
      <c r="CQ256" s="252"/>
      <c r="CR256" s="252"/>
      <c r="CS256" s="252"/>
      <c r="CT256" s="252"/>
      <c r="CU256" s="252"/>
      <c r="CV256" s="252"/>
      <c r="CW256" s="252"/>
      <c r="CX256" s="252"/>
      <c r="CY256" s="252"/>
      <c r="CZ256" s="252"/>
      <c r="DA256" s="252"/>
      <c r="DB256" s="252"/>
      <c r="DC256" s="252"/>
      <c r="DD256" s="252"/>
      <c r="DE256" s="252"/>
      <c r="DF256" s="252"/>
      <c r="DG256" s="252"/>
      <c r="DH256" s="252"/>
      <c r="DI256" s="252"/>
      <c r="DJ256" s="252"/>
      <c r="DK256" s="252"/>
      <c r="DL256" s="252"/>
      <c r="DM256" s="252"/>
      <c r="DN256" s="252"/>
      <c r="DO256" s="252"/>
      <c r="DP256" s="252"/>
      <c r="DQ256" s="252"/>
      <c r="DR256" s="252"/>
      <c r="DS256" s="252"/>
      <c r="DT256" s="252"/>
      <c r="DU256" s="252"/>
      <c r="DV256" s="252"/>
      <c r="DW256" s="252"/>
      <c r="DX256" s="252"/>
      <c r="DY256" s="252"/>
      <c r="DZ256" s="252"/>
      <c r="EA256" s="252"/>
      <c r="EB256" s="252"/>
      <c r="EC256" s="252"/>
      <c r="ED256" s="252"/>
      <c r="EE256" s="252"/>
      <c r="EF256" s="252"/>
      <c r="EG256" s="252"/>
      <c r="EH256" s="252"/>
      <c r="EI256" s="252"/>
      <c r="EJ256" s="252"/>
      <c r="EK256" s="252"/>
      <c r="EL256" s="252"/>
      <c r="EM256" s="252"/>
      <c r="EN256" s="252"/>
      <c r="EO256" s="252"/>
      <c r="EP256" s="252"/>
      <c r="EQ256" s="252"/>
      <c r="ER256" s="252"/>
      <c r="ES256" s="252"/>
      <c r="ET256" s="252"/>
      <c r="EU256" s="252"/>
      <c r="EV256" s="252"/>
      <c r="EW256" s="252"/>
      <c r="EX256" s="252"/>
      <c r="EY256" s="252"/>
      <c r="EZ256" s="252"/>
      <c r="FA256" s="252"/>
      <c r="FB256" s="252"/>
      <c r="FC256" s="252"/>
      <c r="FD256" s="252"/>
      <c r="FE256" s="252"/>
      <c r="FF256" s="252"/>
      <c r="FG256" s="252"/>
      <c r="FH256" s="252"/>
      <c r="FI256" s="252"/>
      <c r="FJ256" s="252"/>
      <c r="FK256" s="252"/>
      <c r="FL256" s="252"/>
      <c r="FM256" s="252"/>
      <c r="FN256" s="252"/>
      <c r="FO256" s="252"/>
      <c r="FP256" s="252"/>
      <c r="FQ256" s="252"/>
      <c r="FR256" s="252"/>
      <c r="FS256" s="252"/>
      <c r="FT256" s="252"/>
      <c r="FU256" s="252"/>
      <c r="FV256" s="252"/>
      <c r="FW256" s="252"/>
      <c r="FX256" s="252"/>
      <c r="FY256" s="252"/>
      <c r="FZ256" s="252"/>
      <c r="GA256" s="252"/>
      <c r="GB256" s="252"/>
      <c r="GC256" s="252"/>
      <c r="GD256" s="252"/>
      <c r="GE256" s="252"/>
      <c r="GF256" s="252"/>
      <c r="GG256" s="252"/>
      <c r="GH256" s="252"/>
      <c r="GI256" s="252"/>
      <c r="GJ256" s="252"/>
      <c r="GK256" s="252"/>
      <c r="GL256" s="252"/>
      <c r="GM256" s="252"/>
      <c r="GN256" s="252"/>
      <c r="GO256" s="252"/>
      <c r="GP256" s="252"/>
      <c r="GQ256" s="252"/>
      <c r="GR256" s="252"/>
      <c r="GS256" s="252"/>
      <c r="GT256" s="252"/>
      <c r="GU256" s="252"/>
      <c r="GV256" s="252"/>
      <c r="GW256" s="252"/>
      <c r="GX256" s="252"/>
      <c r="GY256" s="252"/>
      <c r="GZ256" s="252"/>
      <c r="HA256" s="252"/>
      <c r="HB256" s="252"/>
      <c r="HC256" s="252"/>
      <c r="HD256" s="252"/>
      <c r="HE256" s="252"/>
      <c r="HF256" s="252"/>
      <c r="HG256" s="252"/>
      <c r="HH256" s="252"/>
      <c r="HI256" s="252"/>
      <c r="HJ256" s="252"/>
      <c r="HK256" s="252"/>
      <c r="HL256" s="252"/>
      <c r="HM256" s="252"/>
      <c r="HN256" s="252"/>
      <c r="HO256" s="252"/>
      <c r="HP256" s="252"/>
      <c r="HQ256" s="252"/>
      <c r="HR256" s="252"/>
      <c r="HS256" s="252"/>
      <c r="HT256" s="252"/>
      <c r="HU256" s="252"/>
      <c r="HV256" s="252"/>
      <c r="HW256" s="252"/>
      <c r="HX256" s="252"/>
      <c r="HY256" s="252"/>
      <c r="HZ256" s="252"/>
      <c r="IA256" s="252"/>
      <c r="IB256" s="252"/>
      <c r="IC256" s="252"/>
      <c r="ID256" s="252"/>
      <c r="IE256" s="252"/>
      <c r="IF256" s="252"/>
    </row>
    <row r="257" spans="1:65" s="252" customFormat="1" x14ac:dyDescent="0.25">
      <c r="A257" s="56" t="s">
        <v>611</v>
      </c>
      <c r="B257" s="70" t="s">
        <v>612</v>
      </c>
      <c r="C257" s="238"/>
      <c r="D257" s="44" t="s">
        <v>36</v>
      </c>
      <c r="E257" s="59">
        <f>F257+G257</f>
        <v>87.136000000000053</v>
      </c>
      <c r="F257" s="46">
        <f>SUM(F258:F289)</f>
        <v>15.01</v>
      </c>
      <c r="G257" s="46">
        <f>SUM(G258:G289)</f>
        <v>72.126000000000047</v>
      </c>
      <c r="H257" s="46">
        <f>SUM(H258:H289)</f>
        <v>9.263000000000007</v>
      </c>
      <c r="I257" s="46">
        <f t="shared" ref="I257:BG257" si="79">SUM(I258:I289)</f>
        <v>5.2969999999999997</v>
      </c>
      <c r="J257" s="46">
        <f t="shared" si="79"/>
        <v>0</v>
      </c>
      <c r="K257" s="46">
        <f t="shared" si="79"/>
        <v>8.9365999999999985</v>
      </c>
      <c r="L257" s="46">
        <f t="shared" si="79"/>
        <v>6.0428999999999977</v>
      </c>
      <c r="M257" s="46">
        <f t="shared" si="79"/>
        <v>1.8</v>
      </c>
      <c r="N257" s="46">
        <f t="shared" si="79"/>
        <v>0</v>
      </c>
      <c r="O257" s="46">
        <f t="shared" si="79"/>
        <v>0.56000000000000005</v>
      </c>
      <c r="P257" s="46">
        <f t="shared" si="79"/>
        <v>1.24</v>
      </c>
      <c r="Q257" s="46">
        <f t="shared" si="79"/>
        <v>0</v>
      </c>
      <c r="R257" s="46">
        <f t="shared" si="79"/>
        <v>0</v>
      </c>
      <c r="S257" s="46">
        <f t="shared" si="79"/>
        <v>0</v>
      </c>
      <c r="T257" s="46">
        <f t="shared" si="79"/>
        <v>0</v>
      </c>
      <c r="U257" s="47">
        <f t="shared" si="79"/>
        <v>34.248500000000007</v>
      </c>
      <c r="V257" s="46">
        <f t="shared" si="79"/>
        <v>22.588500000000003</v>
      </c>
      <c r="W257" s="46">
        <f t="shared" si="79"/>
        <v>6.08</v>
      </c>
      <c r="X257" s="46">
        <f t="shared" si="79"/>
        <v>5.58</v>
      </c>
      <c r="Y257" s="46">
        <f t="shared" si="79"/>
        <v>0.15</v>
      </c>
      <c r="Z257" s="46">
        <f t="shared" si="79"/>
        <v>0</v>
      </c>
      <c r="AA257" s="46">
        <f t="shared" si="79"/>
        <v>0</v>
      </c>
      <c r="AB257" s="46">
        <f t="shared" si="79"/>
        <v>0</v>
      </c>
      <c r="AC257" s="46">
        <f t="shared" si="79"/>
        <v>0</v>
      </c>
      <c r="AD257" s="46">
        <f t="shared" si="79"/>
        <v>0</v>
      </c>
      <c r="AE257" s="46">
        <f t="shared" si="79"/>
        <v>0</v>
      </c>
      <c r="AF257" s="46">
        <f t="shared" si="79"/>
        <v>0.01</v>
      </c>
      <c r="AG257" s="46">
        <f t="shared" si="79"/>
        <v>0</v>
      </c>
      <c r="AH257" s="46">
        <f t="shared" si="79"/>
        <v>0</v>
      </c>
      <c r="AI257" s="46">
        <f t="shared" si="79"/>
        <v>0</v>
      </c>
      <c r="AJ257" s="46">
        <f t="shared" si="79"/>
        <v>0</v>
      </c>
      <c r="AK257" s="46">
        <f t="shared" si="79"/>
        <v>0</v>
      </c>
      <c r="AL257" s="46">
        <f t="shared" si="79"/>
        <v>0</v>
      </c>
      <c r="AM257" s="46">
        <f t="shared" si="79"/>
        <v>0</v>
      </c>
      <c r="AN257" s="46">
        <f t="shared" si="79"/>
        <v>0</v>
      </c>
      <c r="AO257" s="46">
        <f t="shared" si="79"/>
        <v>0</v>
      </c>
      <c r="AP257" s="46">
        <f t="shared" si="79"/>
        <v>0</v>
      </c>
      <c r="AQ257" s="46">
        <f t="shared" si="79"/>
        <v>0</v>
      </c>
      <c r="AR257" s="46">
        <f t="shared" si="79"/>
        <v>0</v>
      </c>
      <c r="AS257" s="46">
        <f t="shared" si="79"/>
        <v>0</v>
      </c>
      <c r="AT257" s="46">
        <f t="shared" si="79"/>
        <v>7.5000000000000025E-2</v>
      </c>
      <c r="AU257" s="46">
        <f t="shared" si="79"/>
        <v>0</v>
      </c>
      <c r="AV257" s="46">
        <f t="shared" si="79"/>
        <v>0</v>
      </c>
      <c r="AW257" s="46">
        <f t="shared" si="79"/>
        <v>0</v>
      </c>
      <c r="AX257" s="46">
        <f t="shared" si="79"/>
        <v>0</v>
      </c>
      <c r="AY257" s="46">
        <f t="shared" si="79"/>
        <v>0</v>
      </c>
      <c r="AZ257" s="46">
        <f t="shared" si="79"/>
        <v>0</v>
      </c>
      <c r="BA257" s="46">
        <f t="shared" si="79"/>
        <v>0</v>
      </c>
      <c r="BB257" s="46">
        <f t="shared" si="79"/>
        <v>0</v>
      </c>
      <c r="BC257" s="46">
        <f t="shared" si="79"/>
        <v>0</v>
      </c>
      <c r="BD257" s="46">
        <f t="shared" si="79"/>
        <v>1.5029999999999999</v>
      </c>
      <c r="BE257" s="46">
        <f t="shared" si="79"/>
        <v>0</v>
      </c>
      <c r="BF257" s="46">
        <f t="shared" si="79"/>
        <v>0</v>
      </c>
      <c r="BG257" s="46">
        <f t="shared" si="79"/>
        <v>4.8</v>
      </c>
      <c r="BH257" s="71"/>
      <c r="BI257" s="238"/>
      <c r="BJ257" s="238"/>
      <c r="BK257" s="238"/>
      <c r="BL257" s="238"/>
      <c r="BM257" s="238"/>
    </row>
    <row r="258" spans="1:65" s="252" customFormat="1" ht="31.5" x14ac:dyDescent="0.25">
      <c r="A258" s="215">
        <f>A256+1</f>
        <v>163</v>
      </c>
      <c r="B258" s="221" t="s">
        <v>613</v>
      </c>
      <c r="C258" s="236" t="s">
        <v>614</v>
      </c>
      <c r="D258" s="243" t="s">
        <v>36</v>
      </c>
      <c r="E258" s="20">
        <f t="shared" ref="E258:E297" si="80">F258+G258</f>
        <v>10</v>
      </c>
      <c r="F258" s="20"/>
      <c r="G258" s="28">
        <f>SUM(H258:M258,Q258,U258,Y258:BG258)</f>
        <v>10</v>
      </c>
      <c r="H258" s="62">
        <v>2</v>
      </c>
      <c r="I258" s="62">
        <v>1</v>
      </c>
      <c r="J258" s="62"/>
      <c r="K258" s="62">
        <v>1</v>
      </c>
      <c r="L258" s="62">
        <v>1</v>
      </c>
      <c r="M258" s="62"/>
      <c r="N258" s="62"/>
      <c r="O258" s="62"/>
      <c r="P258" s="62"/>
      <c r="Q258" s="62"/>
      <c r="R258" s="62"/>
      <c r="S258" s="62"/>
      <c r="T258" s="62"/>
      <c r="U258" s="33">
        <f t="shared" ref="U258:U268" si="81">SUM(V258:X258)</f>
        <v>3.5</v>
      </c>
      <c r="V258" s="62">
        <f>5-1.5</f>
        <v>3.5</v>
      </c>
      <c r="W258" s="49"/>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v>1.5</v>
      </c>
      <c r="BE258" s="62"/>
      <c r="BF258" s="62"/>
      <c r="BG258" s="62"/>
      <c r="BH258" s="235"/>
      <c r="BI258" s="236" t="s">
        <v>614</v>
      </c>
      <c r="BJ258" s="218" t="s">
        <v>1046</v>
      </c>
      <c r="BK258" s="239" t="s">
        <v>120</v>
      </c>
      <c r="BL258" s="218" t="s">
        <v>615</v>
      </c>
      <c r="BM258" s="226" t="s">
        <v>1026</v>
      </c>
    </row>
    <row r="259" spans="1:65" s="252" customFormat="1" ht="31.5" x14ac:dyDescent="0.25">
      <c r="A259" s="223">
        <f>A258+1</f>
        <v>164</v>
      </c>
      <c r="B259" s="221" t="s">
        <v>616</v>
      </c>
      <c r="C259" s="218" t="s">
        <v>617</v>
      </c>
      <c r="D259" s="218" t="s">
        <v>36</v>
      </c>
      <c r="E259" s="28">
        <f t="shared" si="80"/>
        <v>17.11</v>
      </c>
      <c r="F259" s="20"/>
      <c r="G259" s="28">
        <f t="shared" ref="G259:G289" si="82">SUM(H259:M259,Q259,U259,Y259:BG259)</f>
        <v>17.11</v>
      </c>
      <c r="H259" s="54">
        <v>0.94</v>
      </c>
      <c r="I259" s="54">
        <v>0</v>
      </c>
      <c r="J259" s="54"/>
      <c r="K259" s="54">
        <v>1.08</v>
      </c>
      <c r="L259" s="54">
        <v>0.1</v>
      </c>
      <c r="M259" s="54"/>
      <c r="N259" s="54"/>
      <c r="O259" s="54"/>
      <c r="P259" s="54"/>
      <c r="Q259" s="54"/>
      <c r="R259" s="54"/>
      <c r="S259" s="54"/>
      <c r="T259" s="54"/>
      <c r="U259" s="222">
        <f t="shared" si="81"/>
        <v>14.99</v>
      </c>
      <c r="V259" s="92">
        <f>2.81+2.38</f>
        <v>5.1899999999999995</v>
      </c>
      <c r="W259" s="92">
        <v>4.22</v>
      </c>
      <c r="X259" s="54">
        <v>5.58</v>
      </c>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235"/>
      <c r="BI259" s="218" t="s">
        <v>617</v>
      </c>
      <c r="BJ259" s="218" t="s">
        <v>1047</v>
      </c>
      <c r="BK259" s="234" t="s">
        <v>120</v>
      </c>
      <c r="BL259" s="218" t="s">
        <v>618</v>
      </c>
      <c r="BM259" s="218" t="s">
        <v>206</v>
      </c>
    </row>
    <row r="260" spans="1:65" s="252" customFormat="1" ht="63" x14ac:dyDescent="0.25">
      <c r="A260" s="223">
        <f t="shared" ref="A260:A289" si="83">A259+1</f>
        <v>165</v>
      </c>
      <c r="B260" s="221" t="s">
        <v>619</v>
      </c>
      <c r="C260" s="218" t="s">
        <v>91</v>
      </c>
      <c r="D260" s="218" t="s">
        <v>36</v>
      </c>
      <c r="E260" s="28">
        <f t="shared" si="80"/>
        <v>7.5299999999999994</v>
      </c>
      <c r="F260" s="20"/>
      <c r="G260" s="28">
        <f t="shared" si="82"/>
        <v>7.5299999999999994</v>
      </c>
      <c r="H260" s="24"/>
      <c r="I260" s="24"/>
      <c r="J260" s="24"/>
      <c r="K260" s="24">
        <v>0.8</v>
      </c>
      <c r="L260" s="24">
        <v>0.54</v>
      </c>
      <c r="M260" s="54">
        <f t="shared" ref="M260:M265" si="84">SUM(N260:P260)</f>
        <v>1.8</v>
      </c>
      <c r="N260" s="24"/>
      <c r="O260" s="24">
        <v>0.56000000000000005</v>
      </c>
      <c r="P260" s="24">
        <v>1.24</v>
      </c>
      <c r="Q260" s="24"/>
      <c r="R260" s="24"/>
      <c r="S260" s="24"/>
      <c r="T260" s="24"/>
      <c r="U260" s="23">
        <f t="shared" si="81"/>
        <v>4.3899999999999997</v>
      </c>
      <c r="V260" s="197">
        <v>2.5299999999999998</v>
      </c>
      <c r="W260" s="197">
        <v>1.86</v>
      </c>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35" t="s">
        <v>1043</v>
      </c>
      <c r="BI260" s="218" t="s">
        <v>91</v>
      </c>
      <c r="BJ260" s="90" t="s">
        <v>1048</v>
      </c>
      <c r="BK260" s="234" t="s">
        <v>120</v>
      </c>
      <c r="BL260" s="222" t="s">
        <v>620</v>
      </c>
      <c r="BM260" s="218" t="s">
        <v>206</v>
      </c>
    </row>
    <row r="261" spans="1:65" s="252" customFormat="1" ht="94.5" x14ac:dyDescent="0.25">
      <c r="A261" s="223">
        <f t="shared" si="83"/>
        <v>166</v>
      </c>
      <c r="B261" s="221" t="s">
        <v>621</v>
      </c>
      <c r="C261" s="198" t="s">
        <v>622</v>
      </c>
      <c r="D261" s="243" t="s">
        <v>36</v>
      </c>
      <c r="E261" s="20">
        <f t="shared" si="80"/>
        <v>45.45</v>
      </c>
      <c r="F261" s="21">
        <v>15.01</v>
      </c>
      <c r="G261" s="28">
        <f t="shared" si="82"/>
        <v>30.44</v>
      </c>
      <c r="H261" s="222">
        <v>5.39</v>
      </c>
      <c r="I261" s="222">
        <v>3.5</v>
      </c>
      <c r="J261" s="222"/>
      <c r="K261" s="222">
        <v>3.7</v>
      </c>
      <c r="L261" s="222">
        <v>2.9</v>
      </c>
      <c r="M261" s="222">
        <f t="shared" si="84"/>
        <v>0</v>
      </c>
      <c r="N261" s="222"/>
      <c r="O261" s="222"/>
      <c r="P261" s="222"/>
      <c r="Q261" s="222"/>
      <c r="R261" s="222"/>
      <c r="S261" s="222"/>
      <c r="T261" s="222"/>
      <c r="U261" s="222">
        <f t="shared" si="81"/>
        <v>10</v>
      </c>
      <c r="V261" s="54">
        <v>10</v>
      </c>
      <c r="W261" s="222"/>
      <c r="X261" s="222"/>
      <c r="Y261" s="222">
        <v>0.15</v>
      </c>
      <c r="Z261" s="222"/>
      <c r="AA261" s="222"/>
      <c r="AB261" s="222"/>
      <c r="AC261" s="222"/>
      <c r="AD261" s="222"/>
      <c r="AE261" s="222"/>
      <c r="AF261" s="222"/>
      <c r="AG261" s="222"/>
      <c r="AH261" s="222"/>
      <c r="AI261" s="222"/>
      <c r="AJ261" s="222"/>
      <c r="AK261" s="222"/>
      <c r="AL261" s="222"/>
      <c r="AM261" s="222"/>
      <c r="AN261" s="222"/>
      <c r="AO261" s="222"/>
      <c r="AP261" s="222"/>
      <c r="AQ261" s="222"/>
      <c r="AR261" s="222"/>
      <c r="AS261" s="222"/>
      <c r="AT261" s="222"/>
      <c r="AU261" s="222"/>
      <c r="AV261" s="222"/>
      <c r="AW261" s="222"/>
      <c r="AX261" s="222"/>
      <c r="AY261" s="222"/>
      <c r="AZ261" s="222"/>
      <c r="BA261" s="222"/>
      <c r="BB261" s="222"/>
      <c r="BC261" s="222"/>
      <c r="BD261" s="222"/>
      <c r="BE261" s="222"/>
      <c r="BF261" s="222"/>
      <c r="BG261" s="222">
        <v>4.8</v>
      </c>
      <c r="BH261" s="232"/>
      <c r="BI261" s="198" t="s">
        <v>622</v>
      </c>
      <c r="BJ261" s="226" t="s">
        <v>1049</v>
      </c>
      <c r="BK261" s="234" t="s">
        <v>1059</v>
      </c>
      <c r="BL261" s="218" t="s">
        <v>623</v>
      </c>
      <c r="BM261" s="226" t="s">
        <v>1026</v>
      </c>
    </row>
    <row r="262" spans="1:65" s="252" customFormat="1" ht="94.5" x14ac:dyDescent="0.25">
      <c r="A262" s="223">
        <f>A261+1</f>
        <v>167</v>
      </c>
      <c r="B262" s="145" t="s">
        <v>624</v>
      </c>
      <c r="C262" s="226" t="s">
        <v>82</v>
      </c>
      <c r="D262" s="243" t="s">
        <v>36</v>
      </c>
      <c r="E262" s="20">
        <f t="shared" si="80"/>
        <v>0.21399999999999997</v>
      </c>
      <c r="F262" s="28"/>
      <c r="G262" s="28">
        <f t="shared" si="82"/>
        <v>0.21399999999999997</v>
      </c>
      <c r="H262" s="199">
        <v>1.4999999999999999E-2</v>
      </c>
      <c r="I262" s="199"/>
      <c r="J262" s="199"/>
      <c r="K262" s="199">
        <v>1.9599999999999999E-2</v>
      </c>
      <c r="L262" s="199">
        <v>7.6899999999999996E-2</v>
      </c>
      <c r="M262" s="199">
        <f t="shared" si="84"/>
        <v>0</v>
      </c>
      <c r="N262" s="199"/>
      <c r="O262" s="199"/>
      <c r="P262" s="199"/>
      <c r="Q262" s="199">
        <f>R262+S262+T262</f>
        <v>0</v>
      </c>
      <c r="R262" s="199"/>
      <c r="S262" s="199"/>
      <c r="T262" s="199"/>
      <c r="U262" s="199">
        <f t="shared" si="81"/>
        <v>0.10249999999999999</v>
      </c>
      <c r="V262" s="199">
        <v>0.10249999999999999</v>
      </c>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99"/>
      <c r="AV262" s="199"/>
      <c r="AW262" s="199"/>
      <c r="AX262" s="199"/>
      <c r="AY262" s="199"/>
      <c r="AZ262" s="199"/>
      <c r="BA262" s="199"/>
      <c r="BB262" s="199"/>
      <c r="BC262" s="199"/>
      <c r="BD262" s="199"/>
      <c r="BE262" s="199"/>
      <c r="BF262" s="199"/>
      <c r="BG262" s="199"/>
      <c r="BH262" s="235"/>
      <c r="BI262" s="226" t="s">
        <v>82</v>
      </c>
      <c r="BJ262" s="79"/>
      <c r="BK262" s="241" t="s">
        <v>68</v>
      </c>
      <c r="BL262" s="200" t="s">
        <v>625</v>
      </c>
      <c r="BM262" s="226" t="s">
        <v>1026</v>
      </c>
    </row>
    <row r="263" spans="1:65" s="252" customFormat="1" ht="63" customHeight="1" x14ac:dyDescent="0.25">
      <c r="A263" s="223">
        <f t="shared" si="83"/>
        <v>168</v>
      </c>
      <c r="B263" s="145" t="s">
        <v>626</v>
      </c>
      <c r="C263" s="226" t="s">
        <v>71</v>
      </c>
      <c r="D263" s="243" t="s">
        <v>36</v>
      </c>
      <c r="E263" s="20">
        <f t="shared" si="80"/>
        <v>1.6E-2</v>
      </c>
      <c r="F263" s="21"/>
      <c r="G263" s="28">
        <f t="shared" si="82"/>
        <v>1.6E-2</v>
      </c>
      <c r="H263" s="23">
        <v>3.0000000000000001E-3</v>
      </c>
      <c r="I263" s="23"/>
      <c r="J263" s="23"/>
      <c r="K263" s="23">
        <v>5.0000000000000001E-3</v>
      </c>
      <c r="L263" s="23">
        <v>5.0000000000000001E-3</v>
      </c>
      <c r="M263" s="23">
        <f t="shared" si="84"/>
        <v>0</v>
      </c>
      <c r="N263" s="23"/>
      <c r="O263" s="23"/>
      <c r="P263" s="23"/>
      <c r="Q263" s="23"/>
      <c r="R263" s="23"/>
      <c r="S263" s="23"/>
      <c r="T263" s="23"/>
      <c r="U263" s="23">
        <f t="shared" si="81"/>
        <v>0</v>
      </c>
      <c r="V263" s="24"/>
      <c r="W263" s="24"/>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v>3.0000000000000001E-3</v>
      </c>
      <c r="AU263" s="23"/>
      <c r="AV263" s="23"/>
      <c r="AW263" s="23"/>
      <c r="AX263" s="23"/>
      <c r="AY263" s="23"/>
      <c r="AZ263" s="23"/>
      <c r="BA263" s="23"/>
      <c r="BB263" s="23"/>
      <c r="BC263" s="23"/>
      <c r="BD263" s="23"/>
      <c r="BE263" s="23"/>
      <c r="BF263" s="23"/>
      <c r="BG263" s="23"/>
      <c r="BH263" s="235"/>
      <c r="BI263" s="226" t="s">
        <v>71</v>
      </c>
      <c r="BJ263" s="79"/>
      <c r="BK263" s="25" t="s">
        <v>120</v>
      </c>
      <c r="BL263" s="222" t="s">
        <v>620</v>
      </c>
      <c r="BM263" s="226" t="s">
        <v>1026</v>
      </c>
    </row>
    <row r="264" spans="1:65" s="252" customFormat="1" ht="63" customHeight="1" x14ac:dyDescent="0.25">
      <c r="A264" s="223">
        <f t="shared" si="83"/>
        <v>169</v>
      </c>
      <c r="B264" s="221" t="s">
        <v>627</v>
      </c>
      <c r="C264" s="146" t="s">
        <v>142</v>
      </c>
      <c r="D264" s="243" t="s">
        <v>36</v>
      </c>
      <c r="E264" s="20">
        <f t="shared" si="80"/>
        <v>0.12</v>
      </c>
      <c r="F264" s="21"/>
      <c r="G264" s="28">
        <f t="shared" si="82"/>
        <v>0.12</v>
      </c>
      <c r="H264" s="23">
        <v>0.08</v>
      </c>
      <c r="I264" s="23"/>
      <c r="J264" s="23"/>
      <c r="K264" s="23">
        <v>0.03</v>
      </c>
      <c r="L264" s="23"/>
      <c r="M264" s="23">
        <f>SUM(N264:P264)</f>
        <v>0</v>
      </c>
      <c r="N264" s="23"/>
      <c r="O264" s="23"/>
      <c r="P264" s="23"/>
      <c r="Q264" s="23"/>
      <c r="R264" s="23"/>
      <c r="S264" s="23"/>
      <c r="T264" s="23"/>
      <c r="U264" s="23">
        <f t="shared" si="81"/>
        <v>0</v>
      </c>
      <c r="V264" s="24"/>
      <c r="W264" s="23"/>
      <c r="X264" s="23"/>
      <c r="Y264" s="23"/>
      <c r="Z264" s="23"/>
      <c r="AA264" s="23"/>
      <c r="AB264" s="23"/>
      <c r="AC264" s="23"/>
      <c r="AD264" s="23"/>
      <c r="AE264" s="23"/>
      <c r="AF264" s="23">
        <v>0.01</v>
      </c>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2" t="s">
        <v>1041</v>
      </c>
      <c r="BI264" s="146" t="s">
        <v>142</v>
      </c>
      <c r="BJ264" s="226" t="s">
        <v>628</v>
      </c>
      <c r="BK264" s="25" t="s">
        <v>120</v>
      </c>
      <c r="BL264" s="469" t="s">
        <v>620</v>
      </c>
      <c r="BM264" s="226" t="s">
        <v>1026</v>
      </c>
    </row>
    <row r="265" spans="1:65" s="252" customFormat="1" ht="31.5" x14ac:dyDescent="0.25">
      <c r="A265" s="223">
        <f t="shared" si="83"/>
        <v>170</v>
      </c>
      <c r="B265" s="221" t="s">
        <v>629</v>
      </c>
      <c r="C265" s="146" t="s">
        <v>142</v>
      </c>
      <c r="D265" s="243" t="s">
        <v>36</v>
      </c>
      <c r="E265" s="20">
        <f t="shared" si="80"/>
        <v>1.7000000000000001E-2</v>
      </c>
      <c r="F265" s="21"/>
      <c r="G265" s="28">
        <f t="shared" si="82"/>
        <v>1.7000000000000001E-2</v>
      </c>
      <c r="H265" s="23">
        <v>6.0000000000000001E-3</v>
      </c>
      <c r="I265" s="23"/>
      <c r="J265" s="23"/>
      <c r="K265" s="23">
        <v>6.0000000000000001E-3</v>
      </c>
      <c r="L265" s="23">
        <v>5.0000000000000001E-3</v>
      </c>
      <c r="M265" s="23">
        <f t="shared" si="84"/>
        <v>0</v>
      </c>
      <c r="N265" s="23"/>
      <c r="O265" s="23"/>
      <c r="P265" s="23"/>
      <c r="Q265" s="23"/>
      <c r="R265" s="23"/>
      <c r="S265" s="23"/>
      <c r="T265" s="23"/>
      <c r="U265" s="23"/>
      <c r="V265" s="24"/>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2"/>
      <c r="BI265" s="146" t="s">
        <v>142</v>
      </c>
      <c r="BJ265" s="226"/>
      <c r="BK265" s="25" t="s">
        <v>120</v>
      </c>
      <c r="BL265" s="469"/>
      <c r="BM265" s="226" t="s">
        <v>1026</v>
      </c>
    </row>
    <row r="266" spans="1:65" s="252" customFormat="1" ht="63" x14ac:dyDescent="0.25">
      <c r="A266" s="223">
        <f t="shared" si="83"/>
        <v>171</v>
      </c>
      <c r="B266" s="216" t="s">
        <v>1024</v>
      </c>
      <c r="C266" s="67" t="s">
        <v>154</v>
      </c>
      <c r="D266" s="243" t="s">
        <v>36</v>
      </c>
      <c r="E266" s="20">
        <f t="shared" si="80"/>
        <v>2.1999999999999999E-2</v>
      </c>
      <c r="F266" s="21"/>
      <c r="G266" s="28">
        <f t="shared" si="82"/>
        <v>2.1999999999999999E-2</v>
      </c>
      <c r="H266" s="109">
        <v>5.0000000000000001E-3</v>
      </c>
      <c r="I266" s="109"/>
      <c r="J266" s="109"/>
      <c r="K266" s="109">
        <v>5.0000000000000001E-3</v>
      </c>
      <c r="L266" s="109">
        <v>5.0000000000000001E-3</v>
      </c>
      <c r="M266" s="109"/>
      <c r="N266" s="109"/>
      <c r="O266" s="109"/>
      <c r="P266" s="109"/>
      <c r="Q266" s="109"/>
      <c r="R266" s="109"/>
      <c r="S266" s="109"/>
      <c r="T266" s="109"/>
      <c r="U266" s="23">
        <f t="shared" si="81"/>
        <v>5.0000000000000001E-3</v>
      </c>
      <c r="V266" s="24">
        <v>5.0000000000000001E-3</v>
      </c>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v>2E-3</v>
      </c>
      <c r="AU266" s="109"/>
      <c r="AV266" s="109"/>
      <c r="AW266" s="109"/>
      <c r="AX266" s="109"/>
      <c r="AY266" s="109"/>
      <c r="AZ266" s="109"/>
      <c r="BA266" s="109"/>
      <c r="BB266" s="109"/>
      <c r="BC266" s="109"/>
      <c r="BD266" s="109"/>
      <c r="BE266" s="109"/>
      <c r="BF266" s="109"/>
      <c r="BG266" s="109"/>
      <c r="BH266" s="55" t="s">
        <v>279</v>
      </c>
      <c r="BI266" s="67" t="s">
        <v>154</v>
      </c>
      <c r="BJ266" s="236"/>
      <c r="BK266" s="25" t="s">
        <v>120</v>
      </c>
      <c r="BL266" s="222" t="s">
        <v>620</v>
      </c>
      <c r="BM266" s="226" t="s">
        <v>1026</v>
      </c>
    </row>
    <row r="267" spans="1:65" s="252" customFormat="1" ht="31.5" x14ac:dyDescent="0.25">
      <c r="A267" s="223">
        <f t="shared" si="83"/>
        <v>172</v>
      </c>
      <c r="B267" s="221" t="s">
        <v>630</v>
      </c>
      <c r="C267" s="198" t="s">
        <v>631</v>
      </c>
      <c r="D267" s="243" t="s">
        <v>36</v>
      </c>
      <c r="E267" s="20">
        <f t="shared" si="80"/>
        <v>0.38200000000000001</v>
      </c>
      <c r="F267" s="21"/>
      <c r="G267" s="28">
        <f t="shared" si="82"/>
        <v>0.38200000000000001</v>
      </c>
      <c r="H267" s="23">
        <v>0.1</v>
      </c>
      <c r="I267" s="23"/>
      <c r="J267" s="23"/>
      <c r="K267" s="23">
        <v>0.2</v>
      </c>
      <c r="L267" s="23">
        <v>0.05</v>
      </c>
      <c r="M267" s="23"/>
      <c r="N267" s="23"/>
      <c r="O267" s="23"/>
      <c r="P267" s="23"/>
      <c r="Q267" s="23"/>
      <c r="R267" s="23"/>
      <c r="S267" s="23"/>
      <c r="T267" s="23"/>
      <c r="U267" s="23">
        <f t="shared" si="81"/>
        <v>0.03</v>
      </c>
      <c r="V267" s="24">
        <v>0.03</v>
      </c>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v>2E-3</v>
      </c>
      <c r="AU267" s="23"/>
      <c r="AV267" s="23"/>
      <c r="AW267" s="23"/>
      <c r="AX267" s="23"/>
      <c r="AY267" s="23"/>
      <c r="AZ267" s="23"/>
      <c r="BA267" s="23"/>
      <c r="BB267" s="23"/>
      <c r="BC267" s="23"/>
      <c r="BD267" s="23"/>
      <c r="BE267" s="23"/>
      <c r="BF267" s="23"/>
      <c r="BG267" s="23"/>
      <c r="BH267" s="232"/>
      <c r="BI267" s="198" t="s">
        <v>631</v>
      </c>
      <c r="BJ267" s="226"/>
      <c r="BK267" s="25" t="s">
        <v>120</v>
      </c>
      <c r="BL267" s="409" t="s">
        <v>632</v>
      </c>
      <c r="BM267" s="218" t="s">
        <v>206</v>
      </c>
    </row>
    <row r="268" spans="1:65" s="252" customFormat="1" ht="47.25" x14ac:dyDescent="0.25">
      <c r="A268" s="223">
        <f t="shared" si="83"/>
        <v>173</v>
      </c>
      <c r="B268" s="221" t="s">
        <v>633</v>
      </c>
      <c r="C268" s="198" t="s">
        <v>631</v>
      </c>
      <c r="D268" s="243" t="s">
        <v>36</v>
      </c>
      <c r="E268" s="20">
        <f t="shared" si="80"/>
        <v>0.5</v>
      </c>
      <c r="F268" s="21"/>
      <c r="G268" s="28">
        <f t="shared" si="82"/>
        <v>0.5</v>
      </c>
      <c r="H268" s="23">
        <v>0.1</v>
      </c>
      <c r="I268" s="23"/>
      <c r="J268" s="23"/>
      <c r="K268" s="23">
        <v>0.2</v>
      </c>
      <c r="L268" s="23">
        <v>0.1</v>
      </c>
      <c r="M268" s="23"/>
      <c r="N268" s="23"/>
      <c r="O268" s="23"/>
      <c r="P268" s="23"/>
      <c r="Q268" s="23"/>
      <c r="R268" s="23"/>
      <c r="S268" s="23"/>
      <c r="T268" s="23"/>
      <c r="U268" s="23">
        <f t="shared" si="81"/>
        <v>0.1</v>
      </c>
      <c r="V268" s="24">
        <v>0.1</v>
      </c>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2"/>
      <c r="BI268" s="198" t="s">
        <v>631</v>
      </c>
      <c r="BJ268" s="226"/>
      <c r="BK268" s="25" t="s">
        <v>120</v>
      </c>
      <c r="BL268" s="409"/>
      <c r="BM268" s="218" t="s">
        <v>206</v>
      </c>
    </row>
    <row r="269" spans="1:65" s="252" customFormat="1" ht="63" customHeight="1" x14ac:dyDescent="0.25">
      <c r="A269" s="271">
        <f t="shared" si="83"/>
        <v>174</v>
      </c>
      <c r="B269" s="35" t="s">
        <v>634</v>
      </c>
      <c r="C269" s="36" t="s">
        <v>91</v>
      </c>
      <c r="D269" s="273" t="s">
        <v>36</v>
      </c>
      <c r="E269" s="20">
        <f t="shared" si="80"/>
        <v>1.8000000000000002E-2</v>
      </c>
      <c r="F269" s="21"/>
      <c r="G269" s="28">
        <f t="shared" si="82"/>
        <v>1.8000000000000002E-2</v>
      </c>
      <c r="H269" s="23">
        <v>6.0000000000000001E-3</v>
      </c>
      <c r="I269" s="23"/>
      <c r="J269" s="23"/>
      <c r="K269" s="23">
        <v>5.0000000000000001E-3</v>
      </c>
      <c r="L269" s="23">
        <v>5.0000000000000001E-3</v>
      </c>
      <c r="M269" s="23"/>
      <c r="N269" s="37"/>
      <c r="O269" s="23"/>
      <c r="P269" s="23"/>
      <c r="Q269" s="23"/>
      <c r="R269" s="23"/>
      <c r="S269" s="23"/>
      <c r="T269" s="23"/>
      <c r="U269" s="23"/>
      <c r="V269" s="24"/>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v>2E-3</v>
      </c>
      <c r="AU269" s="23"/>
      <c r="AV269" s="23"/>
      <c r="AW269" s="23"/>
      <c r="AX269" s="23"/>
      <c r="AY269" s="23"/>
      <c r="AZ269" s="23"/>
      <c r="BA269" s="23"/>
      <c r="BB269" s="23"/>
      <c r="BC269" s="23"/>
      <c r="BD269" s="23"/>
      <c r="BE269" s="23"/>
      <c r="BF269" s="23"/>
      <c r="BG269" s="23"/>
      <c r="BH269" s="272" t="s">
        <v>315</v>
      </c>
      <c r="BI269" s="36" t="s">
        <v>91</v>
      </c>
      <c r="BJ269" s="274"/>
      <c r="BK269" s="25" t="s">
        <v>68</v>
      </c>
      <c r="BL269" s="469" t="s">
        <v>620</v>
      </c>
      <c r="BM269" s="218" t="s">
        <v>206</v>
      </c>
    </row>
    <row r="270" spans="1:65" s="252" customFormat="1" ht="31.5" x14ac:dyDescent="0.25">
      <c r="A270" s="223">
        <f t="shared" si="83"/>
        <v>175</v>
      </c>
      <c r="B270" s="35" t="s">
        <v>635</v>
      </c>
      <c r="C270" s="36" t="s">
        <v>91</v>
      </c>
      <c r="D270" s="243" t="s">
        <v>36</v>
      </c>
      <c r="E270" s="20">
        <f t="shared" si="80"/>
        <v>1.8000000000000002E-2</v>
      </c>
      <c r="F270" s="21"/>
      <c r="G270" s="28">
        <f t="shared" si="82"/>
        <v>1.8000000000000002E-2</v>
      </c>
      <c r="H270" s="23">
        <v>6.0000000000000001E-3</v>
      </c>
      <c r="I270" s="23"/>
      <c r="J270" s="23"/>
      <c r="K270" s="23">
        <v>5.0000000000000001E-3</v>
      </c>
      <c r="L270" s="23">
        <v>5.0000000000000001E-3</v>
      </c>
      <c r="M270" s="23"/>
      <c r="N270" s="37"/>
      <c r="O270" s="23"/>
      <c r="P270" s="23"/>
      <c r="Q270" s="23"/>
      <c r="R270" s="23"/>
      <c r="S270" s="23"/>
      <c r="T270" s="23"/>
      <c r="U270" s="23"/>
      <c r="V270" s="24"/>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v>2E-3</v>
      </c>
      <c r="AU270" s="23"/>
      <c r="AV270" s="23"/>
      <c r="AW270" s="23"/>
      <c r="AX270" s="23"/>
      <c r="AY270" s="23"/>
      <c r="AZ270" s="23"/>
      <c r="BA270" s="23"/>
      <c r="BB270" s="23"/>
      <c r="BC270" s="23"/>
      <c r="BD270" s="23"/>
      <c r="BE270" s="23"/>
      <c r="BF270" s="23"/>
      <c r="BG270" s="23"/>
      <c r="BH270" s="235" t="s">
        <v>430</v>
      </c>
      <c r="BI270" s="36" t="s">
        <v>91</v>
      </c>
      <c r="BJ270" s="226"/>
      <c r="BK270" s="25" t="s">
        <v>68</v>
      </c>
      <c r="BL270" s="469"/>
      <c r="BM270" s="218" t="s">
        <v>206</v>
      </c>
    </row>
    <row r="271" spans="1:65" s="252" customFormat="1" ht="78.75" x14ac:dyDescent="0.25">
      <c r="A271" s="223">
        <f t="shared" si="83"/>
        <v>176</v>
      </c>
      <c r="B271" s="217" t="s">
        <v>636</v>
      </c>
      <c r="C271" s="226" t="s">
        <v>71</v>
      </c>
      <c r="D271" s="243" t="s">
        <v>36</v>
      </c>
      <c r="E271" s="20">
        <f t="shared" si="80"/>
        <v>2.6000000000000002E-2</v>
      </c>
      <c r="F271" s="21"/>
      <c r="G271" s="28">
        <f t="shared" si="82"/>
        <v>2.6000000000000002E-2</v>
      </c>
      <c r="H271" s="23">
        <v>6.0000000000000001E-3</v>
      </c>
      <c r="I271" s="37"/>
      <c r="J271" s="23"/>
      <c r="K271" s="37">
        <v>6.0000000000000001E-3</v>
      </c>
      <c r="L271" s="37">
        <v>6.0000000000000001E-3</v>
      </c>
      <c r="M271" s="23"/>
      <c r="N271" s="23"/>
      <c r="O271" s="23"/>
      <c r="P271" s="23"/>
      <c r="Q271" s="23"/>
      <c r="R271" s="23"/>
      <c r="S271" s="23"/>
      <c r="T271" s="23"/>
      <c r="U271" s="23">
        <f t="shared" ref="U271:U280" si="85">SUM(V271:X271)</f>
        <v>6.0000000000000001E-3</v>
      </c>
      <c r="V271" s="197">
        <v>6.0000000000000001E-3</v>
      </c>
      <c r="W271" s="197"/>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37">
        <v>2E-3</v>
      </c>
      <c r="AU271" s="23"/>
      <c r="AV271" s="23"/>
      <c r="AW271" s="23"/>
      <c r="AX271" s="23"/>
      <c r="AY271" s="23"/>
      <c r="AZ271" s="23"/>
      <c r="BA271" s="23"/>
      <c r="BB271" s="23"/>
      <c r="BC271" s="23"/>
      <c r="BD271" s="23"/>
      <c r="BE271" s="23"/>
      <c r="BF271" s="23"/>
      <c r="BG271" s="23"/>
      <c r="BH271" s="235"/>
      <c r="BI271" s="226" t="s">
        <v>71</v>
      </c>
      <c r="BJ271" s="129"/>
      <c r="BK271" s="25" t="s">
        <v>120</v>
      </c>
      <c r="BL271" s="469"/>
      <c r="BM271" s="218" t="s">
        <v>206</v>
      </c>
    </row>
    <row r="272" spans="1:65" s="252" customFormat="1" ht="47.25" x14ac:dyDescent="0.25">
      <c r="A272" s="223">
        <f t="shared" si="83"/>
        <v>177</v>
      </c>
      <c r="B272" s="145" t="s">
        <v>637</v>
      </c>
      <c r="C272" s="226" t="s">
        <v>71</v>
      </c>
      <c r="D272" s="243" t="s">
        <v>36</v>
      </c>
      <c r="E272" s="20">
        <f t="shared" si="80"/>
        <v>0.04</v>
      </c>
      <c r="F272" s="21"/>
      <c r="G272" s="28">
        <f t="shared" si="82"/>
        <v>0.04</v>
      </c>
      <c r="H272" s="23"/>
      <c r="I272" s="37">
        <v>0.01</v>
      </c>
      <c r="J272" s="23"/>
      <c r="K272" s="37">
        <v>0.01</v>
      </c>
      <c r="L272" s="37">
        <v>0.01</v>
      </c>
      <c r="M272" s="23">
        <f t="shared" ref="M272:M277" si="86">SUM(N272:P272)</f>
        <v>0</v>
      </c>
      <c r="N272" s="23"/>
      <c r="O272" s="23"/>
      <c r="P272" s="23"/>
      <c r="Q272" s="23">
        <f>R272+S272+T272</f>
        <v>0</v>
      </c>
      <c r="R272" s="23"/>
      <c r="S272" s="23"/>
      <c r="T272" s="23"/>
      <c r="U272" s="23">
        <f t="shared" si="85"/>
        <v>0.01</v>
      </c>
      <c r="V272" s="197">
        <v>0.01</v>
      </c>
      <c r="W272" s="197"/>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5"/>
      <c r="BI272" s="226" t="s">
        <v>71</v>
      </c>
      <c r="BJ272" s="129"/>
      <c r="BK272" s="241" t="s">
        <v>120</v>
      </c>
      <c r="BL272" s="469"/>
      <c r="BM272" s="226" t="s">
        <v>1026</v>
      </c>
    </row>
    <row r="273" spans="1:65" s="252" customFormat="1" ht="31.5" x14ac:dyDescent="0.25">
      <c r="A273" s="223">
        <f t="shared" si="83"/>
        <v>178</v>
      </c>
      <c r="B273" s="216" t="s">
        <v>638</v>
      </c>
      <c r="C273" s="226" t="s">
        <v>87</v>
      </c>
      <c r="D273" s="243" t="s">
        <v>36</v>
      </c>
      <c r="E273" s="20">
        <f t="shared" si="80"/>
        <v>2.1999999999999999E-2</v>
      </c>
      <c r="F273" s="21"/>
      <c r="G273" s="28">
        <f t="shared" si="82"/>
        <v>2.1999999999999999E-2</v>
      </c>
      <c r="H273" s="23">
        <v>5.0000000000000001E-3</v>
      </c>
      <c r="I273" s="23"/>
      <c r="J273" s="23"/>
      <c r="K273" s="23">
        <v>5.0000000000000001E-3</v>
      </c>
      <c r="L273" s="23">
        <v>5.0000000000000001E-3</v>
      </c>
      <c r="M273" s="23">
        <f t="shared" si="86"/>
        <v>0</v>
      </c>
      <c r="N273" s="23"/>
      <c r="O273" s="23"/>
      <c r="P273" s="23"/>
      <c r="Q273" s="23"/>
      <c r="R273" s="23"/>
      <c r="S273" s="23"/>
      <c r="T273" s="23"/>
      <c r="U273" s="23">
        <f t="shared" si="85"/>
        <v>5.0000000000000001E-3</v>
      </c>
      <c r="V273" s="24">
        <v>5.0000000000000001E-3</v>
      </c>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v>2E-3</v>
      </c>
      <c r="AU273" s="23"/>
      <c r="AV273" s="23"/>
      <c r="AW273" s="23"/>
      <c r="AX273" s="23"/>
      <c r="AY273" s="23"/>
      <c r="AZ273" s="23"/>
      <c r="BA273" s="23"/>
      <c r="BB273" s="23"/>
      <c r="BC273" s="23"/>
      <c r="BD273" s="23"/>
      <c r="BE273" s="23"/>
      <c r="BF273" s="23"/>
      <c r="BG273" s="23"/>
      <c r="BH273" s="235" t="s">
        <v>131</v>
      </c>
      <c r="BI273" s="226" t="s">
        <v>87</v>
      </c>
      <c r="BJ273" s="223"/>
      <c r="BK273" s="25" t="s">
        <v>120</v>
      </c>
      <c r="BL273" s="469"/>
      <c r="BM273" s="226" t="s">
        <v>1026</v>
      </c>
    </row>
    <row r="274" spans="1:65" s="252" customFormat="1" ht="31.5" x14ac:dyDescent="0.25">
      <c r="A274" s="223">
        <f t="shared" si="83"/>
        <v>179</v>
      </c>
      <c r="B274" s="216" t="s">
        <v>639</v>
      </c>
      <c r="C274" s="226" t="s">
        <v>154</v>
      </c>
      <c r="D274" s="243" t="s">
        <v>36</v>
      </c>
      <c r="E274" s="20">
        <f t="shared" si="80"/>
        <v>2.1999999999999999E-2</v>
      </c>
      <c r="F274" s="21"/>
      <c r="G274" s="28">
        <f t="shared" si="82"/>
        <v>2.1999999999999999E-2</v>
      </c>
      <c r="H274" s="109">
        <v>5.0000000000000001E-3</v>
      </c>
      <c r="I274" s="109"/>
      <c r="J274" s="109"/>
      <c r="K274" s="109">
        <v>5.0000000000000001E-3</v>
      </c>
      <c r="L274" s="109">
        <v>5.0000000000000001E-3</v>
      </c>
      <c r="M274" s="109">
        <f t="shared" si="86"/>
        <v>0</v>
      </c>
      <c r="N274" s="109"/>
      <c r="O274" s="109"/>
      <c r="P274" s="109"/>
      <c r="Q274" s="109"/>
      <c r="R274" s="109"/>
      <c r="S274" s="109"/>
      <c r="T274" s="109"/>
      <c r="U274" s="23">
        <f t="shared" si="85"/>
        <v>5.0000000000000001E-3</v>
      </c>
      <c r="V274" s="24">
        <v>5.0000000000000001E-3</v>
      </c>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v>2E-3</v>
      </c>
      <c r="AU274" s="109"/>
      <c r="AV274" s="109"/>
      <c r="AW274" s="109"/>
      <c r="AX274" s="109"/>
      <c r="AY274" s="109"/>
      <c r="AZ274" s="109"/>
      <c r="BA274" s="109"/>
      <c r="BB274" s="109"/>
      <c r="BC274" s="109"/>
      <c r="BD274" s="109"/>
      <c r="BE274" s="109"/>
      <c r="BF274" s="109"/>
      <c r="BG274" s="109"/>
      <c r="BH274" s="235"/>
      <c r="BI274" s="226" t="s">
        <v>154</v>
      </c>
      <c r="BJ274" s="226"/>
      <c r="BK274" s="25" t="s">
        <v>120</v>
      </c>
      <c r="BL274" s="469"/>
      <c r="BM274" s="226" t="s">
        <v>1026</v>
      </c>
    </row>
    <row r="275" spans="1:65" s="252" customFormat="1" ht="31.5" x14ac:dyDescent="0.25">
      <c r="A275" s="223">
        <f t="shared" si="83"/>
        <v>180</v>
      </c>
      <c r="B275" s="216" t="s">
        <v>640</v>
      </c>
      <c r="C275" s="226" t="s">
        <v>82</v>
      </c>
      <c r="D275" s="243" t="s">
        <v>36</v>
      </c>
      <c r="E275" s="20">
        <f t="shared" si="80"/>
        <v>2.1999999999999999E-2</v>
      </c>
      <c r="F275" s="28"/>
      <c r="G275" s="28">
        <f t="shared" si="82"/>
        <v>2.1999999999999999E-2</v>
      </c>
      <c r="H275" s="199">
        <v>5.0000000000000001E-3</v>
      </c>
      <c r="I275" s="199"/>
      <c r="J275" s="199"/>
      <c r="K275" s="199">
        <v>5.0000000000000001E-3</v>
      </c>
      <c r="L275" s="199">
        <v>5.0000000000000001E-3</v>
      </c>
      <c r="M275" s="199">
        <f t="shared" si="86"/>
        <v>0</v>
      </c>
      <c r="N275" s="199"/>
      <c r="O275" s="199"/>
      <c r="P275" s="199"/>
      <c r="Q275" s="199">
        <f>R275+S275+T275</f>
        <v>0</v>
      </c>
      <c r="R275" s="199"/>
      <c r="S275" s="199"/>
      <c r="T275" s="199"/>
      <c r="U275" s="199">
        <f t="shared" si="85"/>
        <v>5.0000000000000001E-3</v>
      </c>
      <c r="V275" s="199">
        <v>5.0000000000000001E-3</v>
      </c>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v>2E-3</v>
      </c>
      <c r="AU275" s="199"/>
      <c r="AV275" s="199"/>
      <c r="AW275" s="199"/>
      <c r="AX275" s="199"/>
      <c r="AY275" s="199"/>
      <c r="AZ275" s="199"/>
      <c r="BA275" s="199"/>
      <c r="BB275" s="199"/>
      <c r="BC275" s="199"/>
      <c r="BD275" s="199"/>
      <c r="BE275" s="199"/>
      <c r="BF275" s="199"/>
      <c r="BG275" s="199"/>
      <c r="BH275" s="235"/>
      <c r="BI275" s="226" t="s">
        <v>82</v>
      </c>
      <c r="BJ275" s="226"/>
      <c r="BK275" s="241" t="s">
        <v>120</v>
      </c>
      <c r="BL275" s="469"/>
      <c r="BM275" s="226" t="s">
        <v>1026</v>
      </c>
    </row>
    <row r="276" spans="1:65" s="252" customFormat="1" ht="31.5" x14ac:dyDescent="0.25">
      <c r="A276" s="223">
        <f t="shared" si="83"/>
        <v>181</v>
      </c>
      <c r="B276" s="237" t="s">
        <v>641</v>
      </c>
      <c r="C276" s="219" t="s">
        <v>106</v>
      </c>
      <c r="D276" s="243" t="s">
        <v>36</v>
      </c>
      <c r="E276" s="20">
        <f t="shared" si="80"/>
        <v>2.1999999999999999E-2</v>
      </c>
      <c r="F276" s="21"/>
      <c r="G276" s="28">
        <f t="shared" si="82"/>
        <v>2.1999999999999999E-2</v>
      </c>
      <c r="H276" s="23">
        <v>5.0000000000000001E-3</v>
      </c>
      <c r="I276" s="23"/>
      <c r="J276" s="23"/>
      <c r="K276" s="23">
        <v>5.0000000000000001E-3</v>
      </c>
      <c r="L276" s="23">
        <v>5.0000000000000001E-3</v>
      </c>
      <c r="M276" s="23">
        <f t="shared" si="86"/>
        <v>0</v>
      </c>
      <c r="N276" s="23"/>
      <c r="O276" s="23"/>
      <c r="P276" s="23"/>
      <c r="Q276" s="23"/>
      <c r="R276" s="23"/>
      <c r="S276" s="23"/>
      <c r="T276" s="23"/>
      <c r="U276" s="23">
        <f t="shared" si="85"/>
        <v>5.0000000000000001E-3</v>
      </c>
      <c r="V276" s="24">
        <v>5.0000000000000001E-3</v>
      </c>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v>2E-3</v>
      </c>
      <c r="AU276" s="23"/>
      <c r="AV276" s="23"/>
      <c r="AW276" s="23"/>
      <c r="AX276" s="23"/>
      <c r="AY276" s="23"/>
      <c r="AZ276" s="23"/>
      <c r="BA276" s="23"/>
      <c r="BB276" s="23"/>
      <c r="BC276" s="23"/>
      <c r="BD276" s="23"/>
      <c r="BE276" s="23"/>
      <c r="BF276" s="23"/>
      <c r="BG276" s="23"/>
      <c r="BH276" s="67" t="s">
        <v>107</v>
      </c>
      <c r="BI276" s="219" t="s">
        <v>106</v>
      </c>
      <c r="BJ276" s="226"/>
      <c r="BK276" s="25" t="s">
        <v>120</v>
      </c>
      <c r="BL276" s="469"/>
      <c r="BM276" s="226" t="s">
        <v>1026</v>
      </c>
    </row>
    <row r="277" spans="1:65" s="252" customFormat="1" ht="31.5" x14ac:dyDescent="0.25">
      <c r="A277" s="223">
        <f t="shared" si="83"/>
        <v>182</v>
      </c>
      <c r="B277" s="237" t="s">
        <v>642</v>
      </c>
      <c r="C277" s="226" t="s">
        <v>154</v>
      </c>
      <c r="D277" s="243" t="s">
        <v>36</v>
      </c>
      <c r="E277" s="20">
        <f t="shared" si="80"/>
        <v>2.1999999999999999E-2</v>
      </c>
      <c r="F277" s="21"/>
      <c r="G277" s="28">
        <f t="shared" si="82"/>
        <v>2.1999999999999999E-2</v>
      </c>
      <c r="H277" s="109">
        <v>5.0000000000000001E-3</v>
      </c>
      <c r="I277" s="109"/>
      <c r="J277" s="109"/>
      <c r="K277" s="109">
        <v>5.0000000000000001E-3</v>
      </c>
      <c r="L277" s="109">
        <v>5.0000000000000001E-3</v>
      </c>
      <c r="M277" s="109">
        <f t="shared" si="86"/>
        <v>0</v>
      </c>
      <c r="N277" s="109"/>
      <c r="O277" s="109"/>
      <c r="P277" s="109"/>
      <c r="Q277" s="109"/>
      <c r="R277" s="109"/>
      <c r="S277" s="109"/>
      <c r="T277" s="109"/>
      <c r="U277" s="23">
        <f t="shared" si="85"/>
        <v>5.0000000000000001E-3</v>
      </c>
      <c r="V277" s="24">
        <v>5.0000000000000001E-3</v>
      </c>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v>2E-3</v>
      </c>
      <c r="AU277" s="109"/>
      <c r="AV277" s="109"/>
      <c r="AW277" s="109"/>
      <c r="AX277" s="109"/>
      <c r="AY277" s="109"/>
      <c r="AZ277" s="109"/>
      <c r="BA277" s="109"/>
      <c r="BB277" s="109"/>
      <c r="BC277" s="109"/>
      <c r="BD277" s="109"/>
      <c r="BE277" s="109"/>
      <c r="BF277" s="109"/>
      <c r="BG277" s="109"/>
      <c r="BH277" s="235" t="s">
        <v>245</v>
      </c>
      <c r="BI277" s="226" t="s">
        <v>154</v>
      </c>
      <c r="BJ277" s="226"/>
      <c r="BK277" s="25" t="s">
        <v>120</v>
      </c>
      <c r="BL277" s="469"/>
      <c r="BM277" s="226" t="s">
        <v>1026</v>
      </c>
    </row>
    <row r="278" spans="1:65" s="252" customFormat="1" ht="31.5" x14ac:dyDescent="0.25">
      <c r="A278" s="271">
        <f t="shared" si="83"/>
        <v>183</v>
      </c>
      <c r="B278" s="19" t="s">
        <v>643</v>
      </c>
      <c r="C278" s="274" t="s">
        <v>99</v>
      </c>
      <c r="D278" s="273" t="s">
        <v>36</v>
      </c>
      <c r="E278" s="20">
        <f t="shared" si="80"/>
        <v>1.6E-2</v>
      </c>
      <c r="F278" s="21"/>
      <c r="G278" s="28">
        <f t="shared" si="82"/>
        <v>1.6E-2</v>
      </c>
      <c r="H278" s="23">
        <v>6.0000000000000001E-3</v>
      </c>
      <c r="I278" s="23"/>
      <c r="J278" s="23"/>
      <c r="K278" s="23">
        <v>5.0000000000000001E-3</v>
      </c>
      <c r="L278" s="23">
        <v>5.0000000000000001E-3</v>
      </c>
      <c r="M278" s="23"/>
      <c r="N278" s="23"/>
      <c r="O278" s="23"/>
      <c r="P278" s="23"/>
      <c r="Q278" s="23"/>
      <c r="R278" s="23"/>
      <c r="S278" s="23"/>
      <c r="T278" s="23"/>
      <c r="U278" s="23">
        <f t="shared" si="85"/>
        <v>0</v>
      </c>
      <c r="V278" s="24"/>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72" t="s">
        <v>1044</v>
      </c>
      <c r="BI278" s="274" t="s">
        <v>99</v>
      </c>
      <c r="BJ278" s="270"/>
      <c r="BK278" s="25" t="s">
        <v>68</v>
      </c>
      <c r="BL278" s="469"/>
      <c r="BM278" s="218" t="s">
        <v>206</v>
      </c>
    </row>
    <row r="279" spans="1:65" s="252" customFormat="1" ht="47.25" x14ac:dyDescent="0.25">
      <c r="A279" s="223">
        <f t="shared" si="83"/>
        <v>184</v>
      </c>
      <c r="B279" s="19" t="s">
        <v>644</v>
      </c>
      <c r="C279" s="226" t="s">
        <v>1067</v>
      </c>
      <c r="D279" s="243" t="s">
        <v>36</v>
      </c>
      <c r="E279" s="20">
        <f t="shared" si="80"/>
        <v>0.85000000000000009</v>
      </c>
      <c r="F279" s="21"/>
      <c r="G279" s="28">
        <f t="shared" si="82"/>
        <v>0.85000000000000009</v>
      </c>
      <c r="H279" s="23">
        <v>0.28000000000000003</v>
      </c>
      <c r="I279" s="23"/>
      <c r="J279" s="23"/>
      <c r="K279" s="23">
        <v>0.2</v>
      </c>
      <c r="L279" s="23">
        <v>0.2</v>
      </c>
      <c r="M279" s="23"/>
      <c r="N279" s="23"/>
      <c r="O279" s="23"/>
      <c r="P279" s="23"/>
      <c r="Q279" s="23"/>
      <c r="R279" s="23"/>
      <c r="S279" s="23"/>
      <c r="T279" s="23"/>
      <c r="U279" s="23">
        <f t="shared" si="85"/>
        <v>0.15</v>
      </c>
      <c r="V279" s="24">
        <v>0.15</v>
      </c>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v>0.02</v>
      </c>
      <c r="AU279" s="23"/>
      <c r="AV279" s="23"/>
      <c r="AW279" s="23"/>
      <c r="AX279" s="23"/>
      <c r="AY279" s="23"/>
      <c r="AZ279" s="23"/>
      <c r="BA279" s="23"/>
      <c r="BB279" s="23"/>
      <c r="BC279" s="23"/>
      <c r="BD279" s="23"/>
      <c r="BE279" s="23"/>
      <c r="BF279" s="23"/>
      <c r="BG279" s="23"/>
      <c r="BH279" s="235"/>
      <c r="BI279" s="226" t="s">
        <v>1067</v>
      </c>
      <c r="BJ279" s="218"/>
      <c r="BK279" s="25" t="s">
        <v>398</v>
      </c>
      <c r="BL279" s="469"/>
      <c r="BM279" s="218" t="s">
        <v>206</v>
      </c>
    </row>
    <row r="280" spans="1:65" s="252" customFormat="1" ht="31.5" x14ac:dyDescent="0.25">
      <c r="A280" s="223">
        <f t="shared" si="83"/>
        <v>185</v>
      </c>
      <c r="B280" s="19" t="s">
        <v>645</v>
      </c>
      <c r="C280" s="226" t="s">
        <v>646</v>
      </c>
      <c r="D280" s="243" t="s">
        <v>36</v>
      </c>
      <c r="E280" s="20">
        <f t="shared" si="80"/>
        <v>0.04</v>
      </c>
      <c r="F280" s="21"/>
      <c r="G280" s="28">
        <f t="shared" si="82"/>
        <v>0.04</v>
      </c>
      <c r="H280" s="23">
        <v>0.01</v>
      </c>
      <c r="I280" s="23"/>
      <c r="J280" s="23"/>
      <c r="K280" s="23">
        <v>0.01</v>
      </c>
      <c r="L280" s="23">
        <v>0.01</v>
      </c>
      <c r="M280" s="23"/>
      <c r="N280" s="23"/>
      <c r="O280" s="23"/>
      <c r="P280" s="23"/>
      <c r="Q280" s="23"/>
      <c r="R280" s="23"/>
      <c r="S280" s="23"/>
      <c r="T280" s="23"/>
      <c r="U280" s="23">
        <f t="shared" si="85"/>
        <v>0.01</v>
      </c>
      <c r="V280" s="23">
        <v>0.01</v>
      </c>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5"/>
      <c r="BI280" s="226" t="s">
        <v>646</v>
      </c>
      <c r="BJ280" s="218"/>
      <c r="BK280" s="25" t="s">
        <v>120</v>
      </c>
      <c r="BL280" s="469"/>
      <c r="BM280" s="226" t="s">
        <v>1026</v>
      </c>
    </row>
    <row r="281" spans="1:65" s="252" customFormat="1" ht="31.5" x14ac:dyDescent="0.25">
      <c r="A281" s="223">
        <f t="shared" si="83"/>
        <v>186</v>
      </c>
      <c r="B281" s="19" t="s">
        <v>647</v>
      </c>
      <c r="C281" s="226" t="s">
        <v>394</v>
      </c>
      <c r="D281" s="243" t="s">
        <v>36</v>
      </c>
      <c r="E281" s="20">
        <f t="shared" si="80"/>
        <v>6.0000000000000005E-2</v>
      </c>
      <c r="F281" s="21"/>
      <c r="G281" s="22">
        <f t="shared" si="82"/>
        <v>6.0000000000000005E-2</v>
      </c>
      <c r="H281" s="23">
        <v>1.4999999999999999E-2</v>
      </c>
      <c r="I281" s="23"/>
      <c r="J281" s="23"/>
      <c r="K281" s="23">
        <v>1.4999999999999999E-2</v>
      </c>
      <c r="L281" s="23">
        <v>1.4999999999999999E-2</v>
      </c>
      <c r="M281" s="23"/>
      <c r="N281" s="23"/>
      <c r="O281" s="23"/>
      <c r="P281" s="23"/>
      <c r="Q281" s="23"/>
      <c r="R281" s="23"/>
      <c r="S281" s="23"/>
      <c r="T281" s="23"/>
      <c r="U281" s="23">
        <f t="shared" ref="U281:U289" si="87">SUM(V281:X281)</f>
        <v>0.01</v>
      </c>
      <c r="V281" s="24">
        <v>0.01</v>
      </c>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v>2E-3</v>
      </c>
      <c r="AU281" s="23"/>
      <c r="AV281" s="23"/>
      <c r="AW281" s="23"/>
      <c r="AX281" s="23"/>
      <c r="AY281" s="23"/>
      <c r="AZ281" s="23"/>
      <c r="BA281" s="23"/>
      <c r="BB281" s="23"/>
      <c r="BC281" s="23"/>
      <c r="BD281" s="23">
        <v>3.0000000000000001E-3</v>
      </c>
      <c r="BE281" s="23"/>
      <c r="BF281" s="23"/>
      <c r="BG281" s="23"/>
      <c r="BH281" s="235"/>
      <c r="BI281" s="226" t="s">
        <v>394</v>
      </c>
      <c r="BJ281" s="218"/>
      <c r="BK281" s="25" t="s">
        <v>120</v>
      </c>
      <c r="BL281" s="469"/>
      <c r="BM281" s="226" t="s">
        <v>1026</v>
      </c>
    </row>
    <row r="282" spans="1:65" s="252" customFormat="1" ht="31.5" x14ac:dyDescent="0.25">
      <c r="A282" s="223">
        <f t="shared" si="83"/>
        <v>187</v>
      </c>
      <c r="B282" s="19" t="s">
        <v>648</v>
      </c>
      <c r="C282" s="226" t="s">
        <v>394</v>
      </c>
      <c r="D282" s="243" t="s">
        <v>36</v>
      </c>
      <c r="E282" s="20">
        <f t="shared" si="80"/>
        <v>0.2</v>
      </c>
      <c r="F282" s="21"/>
      <c r="G282" s="22">
        <f t="shared" si="82"/>
        <v>0.2</v>
      </c>
      <c r="H282" s="23">
        <v>0.05</v>
      </c>
      <c r="I282" s="23"/>
      <c r="J282" s="23"/>
      <c r="K282" s="23">
        <v>0.05</v>
      </c>
      <c r="L282" s="23">
        <v>0.05</v>
      </c>
      <c r="M282" s="23"/>
      <c r="N282" s="23"/>
      <c r="O282" s="23"/>
      <c r="P282" s="23"/>
      <c r="Q282" s="23"/>
      <c r="R282" s="23"/>
      <c r="S282" s="23"/>
      <c r="T282" s="23"/>
      <c r="U282" s="23">
        <f t="shared" si="87"/>
        <v>0.05</v>
      </c>
      <c r="V282" s="24">
        <v>0.05</v>
      </c>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5"/>
      <c r="BI282" s="226" t="s">
        <v>394</v>
      </c>
      <c r="BJ282" s="218"/>
      <c r="BK282" s="25" t="s">
        <v>398</v>
      </c>
      <c r="BL282" s="469"/>
      <c r="BM282" s="218" t="s">
        <v>206</v>
      </c>
    </row>
    <row r="283" spans="1:65" s="252" customFormat="1" x14ac:dyDescent="0.25">
      <c r="A283" s="223">
        <f t="shared" si="83"/>
        <v>188</v>
      </c>
      <c r="B283" s="19" t="s">
        <v>649</v>
      </c>
      <c r="C283" s="226" t="s">
        <v>394</v>
      </c>
      <c r="D283" s="243" t="s">
        <v>36</v>
      </c>
      <c r="E283" s="20">
        <f t="shared" si="80"/>
        <v>0.78</v>
      </c>
      <c r="F283" s="21"/>
      <c r="G283" s="22">
        <f t="shared" si="82"/>
        <v>0.78</v>
      </c>
      <c r="H283" s="23">
        <f>0.23-0.01</f>
        <v>0.22</v>
      </c>
      <c r="I283" s="23"/>
      <c r="J283" s="23"/>
      <c r="K283" s="23">
        <f>0.13-0.01</f>
        <v>0.12000000000000001</v>
      </c>
      <c r="L283" s="23">
        <f>0.22-0.01</f>
        <v>0.21</v>
      </c>
      <c r="M283" s="23"/>
      <c r="N283" s="23"/>
      <c r="O283" s="23"/>
      <c r="P283" s="23"/>
      <c r="Q283" s="23"/>
      <c r="R283" s="23"/>
      <c r="S283" s="23"/>
      <c r="T283" s="23"/>
      <c r="U283" s="23">
        <f t="shared" si="87"/>
        <v>0.23</v>
      </c>
      <c r="V283" s="24">
        <f>0.23</f>
        <v>0.23</v>
      </c>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5"/>
      <c r="BI283" s="226" t="s">
        <v>394</v>
      </c>
      <c r="BJ283" s="218"/>
      <c r="BK283" s="25" t="s">
        <v>398</v>
      </c>
      <c r="BL283" s="469"/>
      <c r="BM283" s="218" t="s">
        <v>206</v>
      </c>
    </row>
    <row r="284" spans="1:65" s="252" customFormat="1" ht="46.9" customHeight="1" x14ac:dyDescent="0.25">
      <c r="A284" s="223">
        <f t="shared" si="83"/>
        <v>189</v>
      </c>
      <c r="B284" s="19" t="s">
        <v>650</v>
      </c>
      <c r="C284" s="226" t="s">
        <v>394</v>
      </c>
      <c r="D284" s="243" t="s">
        <v>36</v>
      </c>
      <c r="E284" s="20">
        <f t="shared" si="80"/>
        <v>8.0000000000000016E-2</v>
      </c>
      <c r="F284" s="21"/>
      <c r="G284" s="22">
        <f t="shared" si="82"/>
        <v>8.0000000000000016E-2</v>
      </c>
      <c r="H284" s="23"/>
      <c r="I284" s="23">
        <v>1.7000000000000001E-2</v>
      </c>
      <c r="J284" s="23"/>
      <c r="K284" s="23">
        <v>0.02</v>
      </c>
      <c r="L284" s="23">
        <v>0.02</v>
      </c>
      <c r="M284" s="23"/>
      <c r="N284" s="23"/>
      <c r="O284" s="23"/>
      <c r="P284" s="23"/>
      <c r="Q284" s="23"/>
      <c r="R284" s="23"/>
      <c r="S284" s="23"/>
      <c r="T284" s="23"/>
      <c r="U284" s="23">
        <f t="shared" si="87"/>
        <v>0.02</v>
      </c>
      <c r="V284" s="24">
        <v>0.02</v>
      </c>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v>3.0000000000000001E-3</v>
      </c>
      <c r="AU284" s="23"/>
      <c r="AV284" s="23"/>
      <c r="AW284" s="23"/>
      <c r="AX284" s="23"/>
      <c r="AY284" s="23"/>
      <c r="AZ284" s="23"/>
      <c r="BA284" s="23"/>
      <c r="BB284" s="23"/>
      <c r="BC284" s="23"/>
      <c r="BD284" s="23"/>
      <c r="BE284" s="23"/>
      <c r="BF284" s="23"/>
      <c r="BG284" s="23"/>
      <c r="BH284" s="235"/>
      <c r="BI284" s="226" t="s">
        <v>394</v>
      </c>
      <c r="BJ284" s="218"/>
      <c r="BK284" s="25" t="s">
        <v>68</v>
      </c>
      <c r="BL284" s="469" t="s">
        <v>651</v>
      </c>
      <c r="BM284" s="218" t="s">
        <v>206</v>
      </c>
    </row>
    <row r="285" spans="1:65" s="252" customFormat="1" ht="31.5" x14ac:dyDescent="0.25">
      <c r="A285" s="223">
        <f t="shared" si="83"/>
        <v>190</v>
      </c>
      <c r="B285" s="19" t="s">
        <v>652</v>
      </c>
      <c r="C285" s="226" t="s">
        <v>394</v>
      </c>
      <c r="D285" s="243" t="s">
        <v>36</v>
      </c>
      <c r="E285" s="20">
        <f t="shared" si="80"/>
        <v>0.08</v>
      </c>
      <c r="F285" s="21"/>
      <c r="G285" s="22">
        <f t="shared" si="82"/>
        <v>0.08</v>
      </c>
      <c r="H285" s="23"/>
      <c r="I285" s="23">
        <v>0.02</v>
      </c>
      <c r="J285" s="23"/>
      <c r="K285" s="23">
        <v>0.02</v>
      </c>
      <c r="L285" s="23">
        <v>0.02</v>
      </c>
      <c r="M285" s="23"/>
      <c r="N285" s="23"/>
      <c r="O285" s="23"/>
      <c r="P285" s="23"/>
      <c r="Q285" s="23"/>
      <c r="R285" s="23"/>
      <c r="S285" s="23"/>
      <c r="T285" s="23"/>
      <c r="U285" s="23">
        <f>SUM(V285:X285)</f>
        <v>0.02</v>
      </c>
      <c r="V285" s="24">
        <v>0.02</v>
      </c>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5"/>
      <c r="BI285" s="226" t="s">
        <v>394</v>
      </c>
      <c r="BJ285" s="218"/>
      <c r="BK285" s="25" t="s">
        <v>68</v>
      </c>
      <c r="BL285" s="469"/>
      <c r="BM285" s="218" t="s">
        <v>206</v>
      </c>
    </row>
    <row r="286" spans="1:65" s="252" customFormat="1" ht="63" x14ac:dyDescent="0.25">
      <c r="A286" s="223">
        <f t="shared" si="83"/>
        <v>191</v>
      </c>
      <c r="B286" s="19" t="s">
        <v>653</v>
      </c>
      <c r="C286" s="226" t="s">
        <v>394</v>
      </c>
      <c r="D286" s="243" t="s">
        <v>36</v>
      </c>
      <c r="E286" s="20">
        <f t="shared" si="80"/>
        <v>4.2000000000000003E-2</v>
      </c>
      <c r="F286" s="21"/>
      <c r="G286" s="22">
        <f t="shared" si="82"/>
        <v>4.2000000000000003E-2</v>
      </c>
      <c r="H286" s="23"/>
      <c r="I286" s="23">
        <v>0.01</v>
      </c>
      <c r="J286" s="23"/>
      <c r="K286" s="23">
        <v>0.01</v>
      </c>
      <c r="L286" s="23">
        <v>0.01</v>
      </c>
      <c r="M286" s="23"/>
      <c r="N286" s="23"/>
      <c r="O286" s="23"/>
      <c r="P286" s="23"/>
      <c r="Q286" s="23"/>
      <c r="R286" s="23"/>
      <c r="S286" s="23"/>
      <c r="T286" s="23"/>
      <c r="U286" s="23">
        <f>SUM(V286:X286)</f>
        <v>0.01</v>
      </c>
      <c r="V286" s="23">
        <v>0.01</v>
      </c>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v>2E-3</v>
      </c>
      <c r="AU286" s="23"/>
      <c r="AV286" s="23"/>
      <c r="AW286" s="23"/>
      <c r="AX286" s="23"/>
      <c r="AY286" s="23"/>
      <c r="AZ286" s="23"/>
      <c r="BA286" s="23"/>
      <c r="BB286" s="23"/>
      <c r="BC286" s="23"/>
      <c r="BD286" s="23"/>
      <c r="BE286" s="23"/>
      <c r="BF286" s="23"/>
      <c r="BG286" s="23"/>
      <c r="BH286" s="235"/>
      <c r="BI286" s="226" t="s">
        <v>394</v>
      </c>
      <c r="BJ286" s="218"/>
      <c r="BK286" s="25" t="s">
        <v>68</v>
      </c>
      <c r="BL286" s="222" t="s">
        <v>651</v>
      </c>
      <c r="BM286" s="218" t="s">
        <v>206</v>
      </c>
    </row>
    <row r="287" spans="1:65" s="252" customFormat="1" ht="31.5" x14ac:dyDescent="0.25">
      <c r="A287" s="223">
        <f t="shared" si="83"/>
        <v>192</v>
      </c>
      <c r="B287" s="201" t="s">
        <v>654</v>
      </c>
      <c r="C287" s="226" t="s">
        <v>394</v>
      </c>
      <c r="D287" s="243" t="s">
        <v>36</v>
      </c>
      <c r="E287" s="20">
        <f t="shared" si="80"/>
        <v>1.0699999999999998</v>
      </c>
      <c r="F287" s="21"/>
      <c r="G287" s="22">
        <f t="shared" si="82"/>
        <v>1.0699999999999998</v>
      </c>
      <c r="H287" s="73"/>
      <c r="I287" s="73">
        <v>0.25</v>
      </c>
      <c r="J287" s="73"/>
      <c r="K287" s="73">
        <v>0.42</v>
      </c>
      <c r="L287" s="73">
        <v>0.2</v>
      </c>
      <c r="M287" s="73"/>
      <c r="N287" s="73"/>
      <c r="O287" s="73"/>
      <c r="P287" s="73"/>
      <c r="Q287" s="73"/>
      <c r="R287" s="73"/>
      <c r="S287" s="73"/>
      <c r="T287" s="73"/>
      <c r="U287" s="23">
        <f t="shared" si="87"/>
        <v>0.19</v>
      </c>
      <c r="V287" s="73">
        <v>0.19</v>
      </c>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v>0.01</v>
      </c>
      <c r="AU287" s="73"/>
      <c r="AV287" s="73"/>
      <c r="AW287" s="73"/>
      <c r="AX287" s="73"/>
      <c r="AY287" s="73"/>
      <c r="AZ287" s="73"/>
      <c r="BA287" s="73"/>
      <c r="BB287" s="73"/>
      <c r="BC287" s="73"/>
      <c r="BD287" s="73"/>
      <c r="BE287" s="73"/>
      <c r="BF287" s="73"/>
      <c r="BG287" s="73"/>
      <c r="BH287" s="71"/>
      <c r="BI287" s="226" t="s">
        <v>394</v>
      </c>
      <c r="BJ287" s="238"/>
      <c r="BK287" s="238" t="s">
        <v>1063</v>
      </c>
      <c r="BL287" s="469" t="s">
        <v>620</v>
      </c>
      <c r="BM287" s="226" t="s">
        <v>1026</v>
      </c>
    </row>
    <row r="288" spans="1:65" s="252" customFormat="1" ht="31.5" x14ac:dyDescent="0.25">
      <c r="A288" s="223">
        <f t="shared" si="83"/>
        <v>193</v>
      </c>
      <c r="B288" s="201" t="s">
        <v>655</v>
      </c>
      <c r="C288" s="226" t="s">
        <v>394</v>
      </c>
      <c r="D288" s="243" t="s">
        <v>36</v>
      </c>
      <c r="E288" s="20">
        <f t="shared" si="80"/>
        <v>1.0699999999999998</v>
      </c>
      <c r="F288" s="21"/>
      <c r="G288" s="22">
        <f t="shared" si="82"/>
        <v>1.0699999999999998</v>
      </c>
      <c r="H288" s="73"/>
      <c r="I288" s="73">
        <v>0.25</v>
      </c>
      <c r="J288" s="73"/>
      <c r="K288" s="73">
        <v>0.42</v>
      </c>
      <c r="L288" s="73">
        <v>0.2</v>
      </c>
      <c r="M288" s="73"/>
      <c r="N288" s="73"/>
      <c r="O288" s="73"/>
      <c r="P288" s="73"/>
      <c r="Q288" s="73"/>
      <c r="R288" s="73"/>
      <c r="S288" s="73"/>
      <c r="T288" s="73"/>
      <c r="U288" s="23">
        <f t="shared" si="87"/>
        <v>0.19</v>
      </c>
      <c r="V288" s="73">
        <v>0.19</v>
      </c>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v>0.01</v>
      </c>
      <c r="AU288" s="73"/>
      <c r="AV288" s="73"/>
      <c r="AW288" s="73"/>
      <c r="AX288" s="73"/>
      <c r="AY288" s="73"/>
      <c r="AZ288" s="73"/>
      <c r="BA288" s="73"/>
      <c r="BB288" s="73"/>
      <c r="BC288" s="73"/>
      <c r="BD288" s="73"/>
      <c r="BE288" s="73"/>
      <c r="BF288" s="73"/>
      <c r="BG288" s="73"/>
      <c r="BH288" s="71"/>
      <c r="BI288" s="226" t="s">
        <v>394</v>
      </c>
      <c r="BJ288" s="238"/>
      <c r="BK288" s="238" t="s">
        <v>1063</v>
      </c>
      <c r="BL288" s="469"/>
      <c r="BM288" s="226" t="s">
        <v>1026</v>
      </c>
    </row>
    <row r="289" spans="1:65" s="252" customFormat="1" ht="31.5" x14ac:dyDescent="0.25">
      <c r="A289" s="223">
        <f t="shared" si="83"/>
        <v>194</v>
      </c>
      <c r="B289" s="201" t="s">
        <v>656</v>
      </c>
      <c r="C289" s="226" t="s">
        <v>394</v>
      </c>
      <c r="D289" s="243" t="s">
        <v>36</v>
      </c>
      <c r="E289" s="20">
        <f t="shared" si="80"/>
        <v>1.2749999999999999</v>
      </c>
      <c r="F289" s="21"/>
      <c r="G289" s="22">
        <f t="shared" si="82"/>
        <v>1.2749999999999999</v>
      </c>
      <c r="H289" s="73"/>
      <c r="I289" s="73">
        <v>0.24</v>
      </c>
      <c r="J289" s="73"/>
      <c r="K289" s="73">
        <f>0.6-0.05</f>
        <v>0.54999999999999993</v>
      </c>
      <c r="L289" s="73">
        <f>0.32-0.05</f>
        <v>0.27</v>
      </c>
      <c r="M289" s="73"/>
      <c r="N289" s="73"/>
      <c r="O289" s="73"/>
      <c r="P289" s="73"/>
      <c r="Q289" s="73"/>
      <c r="R289" s="73"/>
      <c r="S289" s="73"/>
      <c r="T289" s="73"/>
      <c r="U289" s="238">
        <f t="shared" si="87"/>
        <v>0.21000000000000002</v>
      </c>
      <c r="V289" s="73">
        <f>0.26-0.05-0.01+0.01</f>
        <v>0.21000000000000002</v>
      </c>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f>0.01-0.005</f>
        <v>5.0000000000000001E-3</v>
      </c>
      <c r="AU289" s="73"/>
      <c r="AV289" s="73"/>
      <c r="AW289" s="73"/>
      <c r="AX289" s="73"/>
      <c r="AY289" s="73"/>
      <c r="AZ289" s="73"/>
      <c r="BA289" s="73"/>
      <c r="BB289" s="73"/>
      <c r="BC289" s="73"/>
      <c r="BD289" s="73"/>
      <c r="BE289" s="73"/>
      <c r="BF289" s="73"/>
      <c r="BG289" s="73"/>
      <c r="BH289" s="71"/>
      <c r="BI289" s="226" t="s">
        <v>394</v>
      </c>
      <c r="BJ289" s="238"/>
      <c r="BK289" s="238" t="s">
        <v>1064</v>
      </c>
      <c r="BL289" s="469"/>
      <c r="BM289" s="226" t="s">
        <v>1026</v>
      </c>
    </row>
    <row r="290" spans="1:65" s="252" customFormat="1" ht="31.5" x14ac:dyDescent="0.25">
      <c r="A290" s="56" t="s">
        <v>657</v>
      </c>
      <c r="B290" s="70" t="s">
        <v>658</v>
      </c>
      <c r="C290" s="47"/>
      <c r="D290" s="44"/>
      <c r="E290" s="59">
        <f t="shared" si="80"/>
        <v>0.4</v>
      </c>
      <c r="F290" s="59">
        <v>0</v>
      </c>
      <c r="G290" s="59">
        <f>SUM(G291:G297)</f>
        <v>0.4</v>
      </c>
      <c r="H290" s="59">
        <f>SUM(H291:H297)</f>
        <v>0.08</v>
      </c>
      <c r="I290" s="59">
        <f t="shared" ref="I290:BG290" si="88">SUM(I291:I297)</f>
        <v>0</v>
      </c>
      <c r="J290" s="59">
        <f t="shared" si="88"/>
        <v>0</v>
      </c>
      <c r="K290" s="59">
        <f t="shared" si="88"/>
        <v>0.12000000000000001</v>
      </c>
      <c r="L290" s="59">
        <f t="shared" si="88"/>
        <v>0.02</v>
      </c>
      <c r="M290" s="59">
        <f t="shared" si="88"/>
        <v>0</v>
      </c>
      <c r="N290" s="59">
        <f t="shared" si="88"/>
        <v>0</v>
      </c>
      <c r="O290" s="59">
        <f t="shared" si="88"/>
        <v>0</v>
      </c>
      <c r="P290" s="59">
        <f t="shared" si="88"/>
        <v>0</v>
      </c>
      <c r="Q290" s="59">
        <f t="shared" si="88"/>
        <v>0</v>
      </c>
      <c r="R290" s="59">
        <f t="shared" si="88"/>
        <v>0</v>
      </c>
      <c r="S290" s="59">
        <f t="shared" si="88"/>
        <v>0</v>
      </c>
      <c r="T290" s="59">
        <f t="shared" si="88"/>
        <v>0</v>
      </c>
      <c r="U290" s="71">
        <f t="shared" si="88"/>
        <v>0.13</v>
      </c>
      <c r="V290" s="59">
        <f t="shared" si="88"/>
        <v>0.13</v>
      </c>
      <c r="W290" s="59">
        <f t="shared" si="88"/>
        <v>0</v>
      </c>
      <c r="X290" s="59">
        <f t="shared" si="88"/>
        <v>0</v>
      </c>
      <c r="Y290" s="59">
        <f t="shared" si="88"/>
        <v>0</v>
      </c>
      <c r="Z290" s="59">
        <f t="shared" si="88"/>
        <v>0</v>
      </c>
      <c r="AA290" s="59">
        <f t="shared" si="88"/>
        <v>0</v>
      </c>
      <c r="AB290" s="59">
        <f t="shared" si="88"/>
        <v>0</v>
      </c>
      <c r="AC290" s="59">
        <f t="shared" si="88"/>
        <v>0</v>
      </c>
      <c r="AD290" s="59">
        <f t="shared" si="88"/>
        <v>0</v>
      </c>
      <c r="AE290" s="59">
        <f t="shared" si="88"/>
        <v>0</v>
      </c>
      <c r="AF290" s="59">
        <f t="shared" si="88"/>
        <v>0.01</v>
      </c>
      <c r="AG290" s="59">
        <f t="shared" si="88"/>
        <v>0</v>
      </c>
      <c r="AH290" s="59">
        <f t="shared" si="88"/>
        <v>0</v>
      </c>
      <c r="AI290" s="59">
        <f t="shared" si="88"/>
        <v>0</v>
      </c>
      <c r="AJ290" s="59">
        <f t="shared" si="88"/>
        <v>0.01</v>
      </c>
      <c r="AK290" s="59">
        <f t="shared" si="88"/>
        <v>0</v>
      </c>
      <c r="AL290" s="59">
        <f t="shared" si="88"/>
        <v>0</v>
      </c>
      <c r="AM290" s="59">
        <f t="shared" si="88"/>
        <v>0</v>
      </c>
      <c r="AN290" s="59">
        <f t="shared" si="88"/>
        <v>0</v>
      </c>
      <c r="AO290" s="59">
        <f t="shared" si="88"/>
        <v>0</v>
      </c>
      <c r="AP290" s="59">
        <f t="shared" si="88"/>
        <v>0</v>
      </c>
      <c r="AQ290" s="59">
        <f t="shared" si="88"/>
        <v>0</v>
      </c>
      <c r="AR290" s="59">
        <f t="shared" si="88"/>
        <v>0</v>
      </c>
      <c r="AS290" s="59">
        <f t="shared" si="88"/>
        <v>0</v>
      </c>
      <c r="AT290" s="59">
        <f t="shared" si="88"/>
        <v>0</v>
      </c>
      <c r="AU290" s="59">
        <f t="shared" si="88"/>
        <v>0</v>
      </c>
      <c r="AV290" s="59">
        <f t="shared" si="88"/>
        <v>0</v>
      </c>
      <c r="AW290" s="59">
        <f t="shared" si="88"/>
        <v>0</v>
      </c>
      <c r="AX290" s="59">
        <f t="shared" si="88"/>
        <v>0</v>
      </c>
      <c r="AY290" s="59">
        <f t="shared" si="88"/>
        <v>0</v>
      </c>
      <c r="AZ290" s="59">
        <f t="shared" si="88"/>
        <v>0</v>
      </c>
      <c r="BA290" s="59">
        <f t="shared" si="88"/>
        <v>0</v>
      </c>
      <c r="BB290" s="59">
        <f t="shared" si="88"/>
        <v>0</v>
      </c>
      <c r="BC290" s="59">
        <f t="shared" si="88"/>
        <v>0</v>
      </c>
      <c r="BD290" s="59">
        <f t="shared" si="88"/>
        <v>0</v>
      </c>
      <c r="BE290" s="59">
        <f t="shared" si="88"/>
        <v>0</v>
      </c>
      <c r="BF290" s="59">
        <f t="shared" si="88"/>
        <v>0</v>
      </c>
      <c r="BG290" s="59">
        <f t="shared" si="88"/>
        <v>0.03</v>
      </c>
      <c r="BH290" s="47"/>
      <c r="BI290" s="47"/>
      <c r="BJ290" s="47"/>
      <c r="BK290" s="47"/>
      <c r="BL290" s="218"/>
      <c r="BM290" s="47"/>
    </row>
    <row r="291" spans="1:65" s="252" customFormat="1" ht="31.5" x14ac:dyDescent="0.25">
      <c r="A291" s="445">
        <f>A289+1</f>
        <v>195</v>
      </c>
      <c r="B291" s="470" t="s">
        <v>659</v>
      </c>
      <c r="C291" s="226" t="s">
        <v>122</v>
      </c>
      <c r="D291" s="243" t="s">
        <v>37</v>
      </c>
      <c r="E291" s="20">
        <f t="shared" si="80"/>
        <v>9.9999999999999992E-2</v>
      </c>
      <c r="F291" s="21"/>
      <c r="G291" s="28">
        <f t="shared" ref="G291:G297" si="89">SUM(H291:M291,Q291,U291,Y291:BG291)</f>
        <v>9.9999999999999992E-2</v>
      </c>
      <c r="H291" s="235">
        <v>0.08</v>
      </c>
      <c r="I291" s="32"/>
      <c r="J291" s="32"/>
      <c r="K291" s="235">
        <v>0.01</v>
      </c>
      <c r="L291" s="235"/>
      <c r="M291" s="235"/>
      <c r="N291" s="235"/>
      <c r="O291" s="235"/>
      <c r="P291" s="235"/>
      <c r="Q291" s="235"/>
      <c r="R291" s="235"/>
      <c r="S291" s="235"/>
      <c r="T291" s="235"/>
      <c r="U291" s="33"/>
      <c r="V291" s="49"/>
      <c r="W291" s="235"/>
      <c r="X291" s="235"/>
      <c r="Y291" s="235"/>
      <c r="Z291" s="235"/>
      <c r="AA291" s="235"/>
      <c r="AB291" s="235"/>
      <c r="AC291" s="235"/>
      <c r="AD291" s="235"/>
      <c r="AE291" s="235"/>
      <c r="AF291" s="235">
        <v>0.01</v>
      </c>
      <c r="AG291" s="235"/>
      <c r="AH291" s="235"/>
      <c r="AI291" s="235"/>
      <c r="AJ291" s="235"/>
      <c r="AK291" s="235"/>
      <c r="AL291" s="235"/>
      <c r="AM291" s="235"/>
      <c r="AN291" s="235"/>
      <c r="AO291" s="235"/>
      <c r="AP291" s="235"/>
      <c r="AQ291" s="235"/>
      <c r="AR291" s="235"/>
      <c r="AS291" s="235"/>
      <c r="AT291" s="235"/>
      <c r="AU291" s="235"/>
      <c r="AV291" s="235"/>
      <c r="AW291" s="235"/>
      <c r="AX291" s="235"/>
      <c r="AY291" s="235"/>
      <c r="AZ291" s="235"/>
      <c r="BA291" s="235"/>
      <c r="BB291" s="235"/>
      <c r="BC291" s="235"/>
      <c r="BD291" s="235"/>
      <c r="BE291" s="235"/>
      <c r="BF291" s="235"/>
      <c r="BG291" s="235"/>
      <c r="BH291" s="235" t="s">
        <v>123</v>
      </c>
      <c r="BI291" s="226" t="s">
        <v>122</v>
      </c>
      <c r="BJ291" s="226" t="s">
        <v>660</v>
      </c>
      <c r="BK291" s="25" t="s">
        <v>120</v>
      </c>
      <c r="BL291" s="218" t="s">
        <v>202</v>
      </c>
      <c r="BM291" s="226" t="s">
        <v>1026</v>
      </c>
    </row>
    <row r="292" spans="1:65" s="252" customFormat="1" ht="31.5" x14ac:dyDescent="0.25">
      <c r="A292" s="445"/>
      <c r="B292" s="470"/>
      <c r="C292" s="226" t="s">
        <v>87</v>
      </c>
      <c r="D292" s="243" t="s">
        <v>37</v>
      </c>
      <c r="E292" s="20">
        <f t="shared" si="80"/>
        <v>0.02</v>
      </c>
      <c r="F292" s="21"/>
      <c r="G292" s="28">
        <f t="shared" si="89"/>
        <v>0.02</v>
      </c>
      <c r="H292" s="235"/>
      <c r="I292" s="32"/>
      <c r="J292" s="32"/>
      <c r="K292" s="235"/>
      <c r="L292" s="120">
        <v>0.02</v>
      </c>
      <c r="M292" s="235">
        <f>SUM(N292:P292)</f>
        <v>0</v>
      </c>
      <c r="N292" s="235"/>
      <c r="O292" s="235"/>
      <c r="P292" s="235"/>
      <c r="Q292" s="235"/>
      <c r="R292" s="235"/>
      <c r="S292" s="235"/>
      <c r="T292" s="235"/>
      <c r="U292" s="33"/>
      <c r="V292" s="120"/>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c r="AV292" s="235"/>
      <c r="AW292" s="235"/>
      <c r="AX292" s="235"/>
      <c r="AY292" s="235"/>
      <c r="AZ292" s="235"/>
      <c r="BA292" s="235"/>
      <c r="BB292" s="235"/>
      <c r="BC292" s="235"/>
      <c r="BD292" s="235"/>
      <c r="BE292" s="235"/>
      <c r="BF292" s="235"/>
      <c r="BG292" s="235"/>
      <c r="BH292" s="235" t="s">
        <v>131</v>
      </c>
      <c r="BI292" s="226" t="s">
        <v>87</v>
      </c>
      <c r="BJ292" s="226" t="s">
        <v>661</v>
      </c>
      <c r="BK292" s="25" t="s">
        <v>120</v>
      </c>
      <c r="BL292" s="218" t="s">
        <v>202</v>
      </c>
      <c r="BM292" s="226" t="s">
        <v>1026</v>
      </c>
    </row>
    <row r="293" spans="1:65" s="252" customFormat="1" ht="31.5" x14ac:dyDescent="0.25">
      <c r="A293" s="445"/>
      <c r="B293" s="470"/>
      <c r="C293" s="226" t="s">
        <v>134</v>
      </c>
      <c r="D293" s="243" t="s">
        <v>37</v>
      </c>
      <c r="E293" s="20">
        <f t="shared" si="80"/>
        <v>0.01</v>
      </c>
      <c r="F293" s="21"/>
      <c r="G293" s="28">
        <f t="shared" si="89"/>
        <v>0.01</v>
      </c>
      <c r="H293" s="235"/>
      <c r="I293" s="32"/>
      <c r="J293" s="32"/>
      <c r="K293" s="235"/>
      <c r="L293" s="235"/>
      <c r="M293" s="235"/>
      <c r="N293" s="235"/>
      <c r="O293" s="235"/>
      <c r="P293" s="235"/>
      <c r="Q293" s="235"/>
      <c r="R293" s="235"/>
      <c r="S293" s="235"/>
      <c r="T293" s="235"/>
      <c r="U293" s="33"/>
      <c r="V293" s="120"/>
      <c r="W293" s="235"/>
      <c r="X293" s="235"/>
      <c r="Y293" s="235"/>
      <c r="Z293" s="235"/>
      <c r="AA293" s="235"/>
      <c r="AB293" s="235"/>
      <c r="AC293" s="235"/>
      <c r="AD293" s="235"/>
      <c r="AE293" s="235"/>
      <c r="AF293" s="235"/>
      <c r="AG293" s="235"/>
      <c r="AH293" s="235"/>
      <c r="AI293" s="235"/>
      <c r="AJ293" s="235">
        <v>0.01</v>
      </c>
      <c r="AK293" s="235"/>
      <c r="AL293" s="235"/>
      <c r="AM293" s="235"/>
      <c r="AN293" s="235"/>
      <c r="AO293" s="235"/>
      <c r="AP293" s="235"/>
      <c r="AQ293" s="235"/>
      <c r="AR293" s="235"/>
      <c r="AS293" s="235"/>
      <c r="AT293" s="235"/>
      <c r="AU293" s="235"/>
      <c r="AV293" s="235"/>
      <c r="AW293" s="235"/>
      <c r="AX293" s="235"/>
      <c r="AY293" s="235"/>
      <c r="AZ293" s="235"/>
      <c r="BA293" s="235"/>
      <c r="BB293" s="235"/>
      <c r="BC293" s="235"/>
      <c r="BD293" s="235"/>
      <c r="BE293" s="235"/>
      <c r="BF293" s="235"/>
      <c r="BG293" s="235"/>
      <c r="BH293" s="235" t="s">
        <v>135</v>
      </c>
      <c r="BI293" s="226" t="s">
        <v>134</v>
      </c>
      <c r="BJ293" s="226" t="s">
        <v>662</v>
      </c>
      <c r="BK293" s="25" t="s">
        <v>120</v>
      </c>
      <c r="BL293" s="218" t="s">
        <v>202</v>
      </c>
      <c r="BM293" s="226" t="s">
        <v>1026</v>
      </c>
    </row>
    <row r="294" spans="1:65" s="252" customFormat="1" ht="31.5" x14ac:dyDescent="0.25">
      <c r="A294" s="445"/>
      <c r="B294" s="470"/>
      <c r="C294" s="226" t="s">
        <v>158</v>
      </c>
      <c r="D294" s="243" t="s">
        <v>37</v>
      </c>
      <c r="E294" s="28">
        <f t="shared" si="80"/>
        <v>0.05</v>
      </c>
      <c r="F294" s="21"/>
      <c r="G294" s="28">
        <f t="shared" si="89"/>
        <v>0.05</v>
      </c>
      <c r="H294" s="235"/>
      <c r="I294" s="32"/>
      <c r="J294" s="32"/>
      <c r="K294" s="235">
        <v>0.05</v>
      </c>
      <c r="L294" s="235"/>
      <c r="M294" s="235"/>
      <c r="N294" s="235"/>
      <c r="O294" s="235"/>
      <c r="P294" s="235"/>
      <c r="Q294" s="235"/>
      <c r="R294" s="235"/>
      <c r="S294" s="235"/>
      <c r="T294" s="235"/>
      <c r="U294" s="33"/>
      <c r="V294" s="120"/>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c r="AV294" s="235"/>
      <c r="AW294" s="235"/>
      <c r="AX294" s="235"/>
      <c r="AY294" s="235"/>
      <c r="AZ294" s="235"/>
      <c r="BA294" s="235"/>
      <c r="BB294" s="235"/>
      <c r="BC294" s="235"/>
      <c r="BD294" s="235"/>
      <c r="BE294" s="235"/>
      <c r="BF294" s="235"/>
      <c r="BG294" s="235"/>
      <c r="BH294" s="235" t="s">
        <v>159</v>
      </c>
      <c r="BI294" s="226" t="s">
        <v>158</v>
      </c>
      <c r="BJ294" s="226" t="s">
        <v>663</v>
      </c>
      <c r="BK294" s="25" t="s">
        <v>120</v>
      </c>
      <c r="BL294" s="218" t="s">
        <v>202</v>
      </c>
      <c r="BM294" s="226" t="s">
        <v>1026</v>
      </c>
    </row>
    <row r="295" spans="1:65" s="252" customFormat="1" ht="31.5" x14ac:dyDescent="0.25">
      <c r="A295" s="445"/>
      <c r="B295" s="470"/>
      <c r="C295" s="226" t="s">
        <v>99</v>
      </c>
      <c r="D295" s="243" t="s">
        <v>37</v>
      </c>
      <c r="E295" s="28">
        <f t="shared" si="80"/>
        <v>0.03</v>
      </c>
      <c r="F295" s="21"/>
      <c r="G295" s="28">
        <f t="shared" si="89"/>
        <v>0.03</v>
      </c>
      <c r="H295" s="235"/>
      <c r="I295" s="127"/>
      <c r="J295" s="127"/>
      <c r="K295" s="235"/>
      <c r="L295" s="235"/>
      <c r="M295" s="235">
        <f>SUM(N295:P295)</f>
        <v>0</v>
      </c>
      <c r="N295" s="235"/>
      <c r="O295" s="235"/>
      <c r="P295" s="235"/>
      <c r="Q295" s="235"/>
      <c r="R295" s="235"/>
      <c r="S295" s="235"/>
      <c r="T295" s="235"/>
      <c r="U295" s="33"/>
      <c r="V295" s="120"/>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c r="AV295" s="235"/>
      <c r="AW295" s="235"/>
      <c r="AX295" s="235"/>
      <c r="AY295" s="235"/>
      <c r="AZ295" s="235"/>
      <c r="BA295" s="235"/>
      <c r="BB295" s="235"/>
      <c r="BC295" s="235"/>
      <c r="BD295" s="235"/>
      <c r="BE295" s="235"/>
      <c r="BF295" s="235"/>
      <c r="BG295" s="235">
        <v>0.03</v>
      </c>
      <c r="BH295" s="235" t="s">
        <v>411</v>
      </c>
      <c r="BI295" s="226" t="s">
        <v>99</v>
      </c>
      <c r="BJ295" s="226" t="s">
        <v>664</v>
      </c>
      <c r="BK295" s="25" t="s">
        <v>120</v>
      </c>
      <c r="BL295" s="218" t="s">
        <v>202</v>
      </c>
      <c r="BM295" s="226" t="s">
        <v>1026</v>
      </c>
    </row>
    <row r="296" spans="1:65" s="253" customFormat="1" ht="31.5" x14ac:dyDescent="0.25">
      <c r="A296" s="223">
        <f>A291+1</f>
        <v>196</v>
      </c>
      <c r="B296" s="216" t="s">
        <v>665</v>
      </c>
      <c r="C296" s="226" t="s">
        <v>166</v>
      </c>
      <c r="D296" s="243" t="s">
        <v>37</v>
      </c>
      <c r="E296" s="20">
        <f t="shared" si="80"/>
        <v>0.09</v>
      </c>
      <c r="F296" s="21"/>
      <c r="G296" s="28">
        <f t="shared" si="89"/>
        <v>0.09</v>
      </c>
      <c r="H296" s="235"/>
      <c r="I296" s="32"/>
      <c r="J296" s="32"/>
      <c r="K296" s="235"/>
      <c r="L296" s="235"/>
      <c r="M296" s="235">
        <f>SUM(N296:P296)</f>
        <v>0</v>
      </c>
      <c r="N296" s="235"/>
      <c r="O296" s="235"/>
      <c r="P296" s="235"/>
      <c r="Q296" s="235"/>
      <c r="R296" s="235"/>
      <c r="S296" s="235"/>
      <c r="T296" s="235"/>
      <c r="U296" s="33">
        <f t="shared" ref="U296:U297" si="90">SUM(V296:X296)</f>
        <v>0.09</v>
      </c>
      <c r="V296" s="102">
        <v>0.09</v>
      </c>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c r="AU296" s="235"/>
      <c r="AV296" s="235"/>
      <c r="AW296" s="235"/>
      <c r="AX296" s="235"/>
      <c r="AY296" s="235"/>
      <c r="AZ296" s="235"/>
      <c r="BA296" s="235"/>
      <c r="BB296" s="235"/>
      <c r="BC296" s="235"/>
      <c r="BD296" s="235"/>
      <c r="BE296" s="235"/>
      <c r="BF296" s="235"/>
      <c r="BG296" s="235"/>
      <c r="BH296" s="34" t="s">
        <v>666</v>
      </c>
      <c r="BI296" s="226" t="s">
        <v>166</v>
      </c>
      <c r="BJ296" s="226" t="s">
        <v>667</v>
      </c>
      <c r="BK296" s="25" t="s">
        <v>120</v>
      </c>
      <c r="BL296" s="218" t="s">
        <v>202</v>
      </c>
      <c r="BM296" s="226" t="s">
        <v>1026</v>
      </c>
    </row>
    <row r="297" spans="1:65" s="253" customFormat="1" ht="31.5" x14ac:dyDescent="0.25">
      <c r="A297" s="223">
        <f>A296+1</f>
        <v>197</v>
      </c>
      <c r="B297" s="216" t="s">
        <v>668</v>
      </c>
      <c r="C297" s="34" t="s">
        <v>394</v>
      </c>
      <c r="D297" s="243" t="s">
        <v>37</v>
      </c>
      <c r="E297" s="20">
        <f t="shared" si="80"/>
        <v>0.1</v>
      </c>
      <c r="F297" s="21"/>
      <c r="G297" s="28">
        <f t="shared" si="89"/>
        <v>0.1</v>
      </c>
      <c r="H297" s="235"/>
      <c r="I297" s="32"/>
      <c r="J297" s="32"/>
      <c r="K297" s="235">
        <v>6.0000000000000005E-2</v>
      </c>
      <c r="L297" s="235"/>
      <c r="M297" s="235"/>
      <c r="N297" s="235"/>
      <c r="O297" s="235"/>
      <c r="P297" s="235"/>
      <c r="Q297" s="235"/>
      <c r="R297" s="235"/>
      <c r="S297" s="235"/>
      <c r="T297" s="235"/>
      <c r="U297" s="33">
        <f t="shared" si="90"/>
        <v>0.04</v>
      </c>
      <c r="V297" s="102">
        <v>0.04</v>
      </c>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c r="AV297" s="235"/>
      <c r="AW297" s="235"/>
      <c r="AX297" s="235"/>
      <c r="AY297" s="235"/>
      <c r="AZ297" s="235"/>
      <c r="BA297" s="235"/>
      <c r="BB297" s="235"/>
      <c r="BC297" s="235"/>
      <c r="BD297" s="235"/>
      <c r="BE297" s="235"/>
      <c r="BF297" s="235"/>
      <c r="BG297" s="235"/>
      <c r="BH297" s="102"/>
      <c r="BI297" s="34" t="s">
        <v>394</v>
      </c>
      <c r="BJ297" s="226"/>
      <c r="BK297" s="25" t="s">
        <v>398</v>
      </c>
      <c r="BL297" s="218" t="s">
        <v>202</v>
      </c>
      <c r="BM297" s="226" t="s">
        <v>206</v>
      </c>
    </row>
    <row r="298" spans="1:65" s="252" customFormat="1" x14ac:dyDescent="0.25">
      <c r="A298" s="56" t="s">
        <v>669</v>
      </c>
      <c r="B298" s="43" t="s">
        <v>670</v>
      </c>
      <c r="C298" s="79"/>
      <c r="D298" s="44"/>
      <c r="E298" s="93">
        <f>SUM(F298:G298)</f>
        <v>6.23</v>
      </c>
      <c r="F298" s="59">
        <f>SUM(F299:G301)</f>
        <v>3.4600000000000004</v>
      </c>
      <c r="G298" s="59">
        <f>SUM(G299:G301)</f>
        <v>2.77</v>
      </c>
      <c r="H298" s="59">
        <f>SUM(H299:H301)</f>
        <v>0.24</v>
      </c>
      <c r="I298" s="59">
        <f t="shared" ref="I298:BG298" si="91">SUM(I299:I301)</f>
        <v>0.09</v>
      </c>
      <c r="J298" s="59">
        <f t="shared" si="91"/>
        <v>0</v>
      </c>
      <c r="K298" s="59">
        <f t="shared" si="91"/>
        <v>0.66</v>
      </c>
      <c r="L298" s="59">
        <f t="shared" si="91"/>
        <v>1</v>
      </c>
      <c r="M298" s="59">
        <f t="shared" si="91"/>
        <v>0</v>
      </c>
      <c r="N298" s="59">
        <f t="shared" si="91"/>
        <v>0</v>
      </c>
      <c r="O298" s="59">
        <f t="shared" si="91"/>
        <v>0</v>
      </c>
      <c r="P298" s="59">
        <f t="shared" si="91"/>
        <v>0</v>
      </c>
      <c r="Q298" s="59">
        <f t="shared" si="91"/>
        <v>0</v>
      </c>
      <c r="R298" s="59">
        <f t="shared" si="91"/>
        <v>0</v>
      </c>
      <c r="S298" s="59">
        <f t="shared" si="91"/>
        <v>0</v>
      </c>
      <c r="T298" s="59">
        <f t="shared" si="91"/>
        <v>0</v>
      </c>
      <c r="U298" s="71">
        <f t="shared" si="91"/>
        <v>0.2</v>
      </c>
      <c r="V298" s="59">
        <f t="shared" si="91"/>
        <v>0.2</v>
      </c>
      <c r="W298" s="59">
        <f t="shared" si="91"/>
        <v>0</v>
      </c>
      <c r="X298" s="59">
        <f t="shared" si="91"/>
        <v>0</v>
      </c>
      <c r="Y298" s="59">
        <f t="shared" si="91"/>
        <v>0</v>
      </c>
      <c r="Z298" s="59">
        <f t="shared" si="91"/>
        <v>0</v>
      </c>
      <c r="AA298" s="59">
        <f t="shared" si="91"/>
        <v>0</v>
      </c>
      <c r="AB298" s="59">
        <f t="shared" si="91"/>
        <v>0</v>
      </c>
      <c r="AC298" s="59">
        <f t="shared" si="91"/>
        <v>0</v>
      </c>
      <c r="AD298" s="59">
        <f t="shared" si="91"/>
        <v>0</v>
      </c>
      <c r="AE298" s="59">
        <f t="shared" si="91"/>
        <v>0</v>
      </c>
      <c r="AF298" s="59">
        <f t="shared" si="91"/>
        <v>0</v>
      </c>
      <c r="AG298" s="59">
        <f t="shared" si="91"/>
        <v>0</v>
      </c>
      <c r="AH298" s="59">
        <f t="shared" si="91"/>
        <v>0</v>
      </c>
      <c r="AI298" s="59">
        <f t="shared" si="91"/>
        <v>0</v>
      </c>
      <c r="AJ298" s="59">
        <f t="shared" si="91"/>
        <v>0</v>
      </c>
      <c r="AK298" s="59">
        <f t="shared" si="91"/>
        <v>0</v>
      </c>
      <c r="AL298" s="59">
        <f t="shared" si="91"/>
        <v>0</v>
      </c>
      <c r="AM298" s="59">
        <f t="shared" si="91"/>
        <v>0</v>
      </c>
      <c r="AN298" s="59">
        <f t="shared" si="91"/>
        <v>0</v>
      </c>
      <c r="AO298" s="59">
        <f t="shared" si="91"/>
        <v>0</v>
      </c>
      <c r="AP298" s="59">
        <f t="shared" si="91"/>
        <v>0</v>
      </c>
      <c r="AQ298" s="59">
        <f t="shared" si="91"/>
        <v>0</v>
      </c>
      <c r="AR298" s="59">
        <f t="shared" si="91"/>
        <v>0</v>
      </c>
      <c r="AS298" s="59">
        <f t="shared" si="91"/>
        <v>0</v>
      </c>
      <c r="AT298" s="59">
        <f t="shared" si="91"/>
        <v>0</v>
      </c>
      <c r="AU298" s="59">
        <f t="shared" si="91"/>
        <v>0</v>
      </c>
      <c r="AV298" s="59">
        <f t="shared" si="91"/>
        <v>0</v>
      </c>
      <c r="AW298" s="59">
        <f t="shared" si="91"/>
        <v>0</v>
      </c>
      <c r="AX298" s="59">
        <f t="shared" si="91"/>
        <v>0</v>
      </c>
      <c r="AY298" s="59">
        <f t="shared" si="91"/>
        <v>0</v>
      </c>
      <c r="AZ298" s="59">
        <f t="shared" si="91"/>
        <v>0</v>
      </c>
      <c r="BA298" s="59">
        <f t="shared" si="91"/>
        <v>0</v>
      </c>
      <c r="BB298" s="59">
        <f t="shared" si="91"/>
        <v>0</v>
      </c>
      <c r="BC298" s="59">
        <f t="shared" si="91"/>
        <v>0</v>
      </c>
      <c r="BD298" s="59">
        <f t="shared" si="91"/>
        <v>0</v>
      </c>
      <c r="BE298" s="59">
        <f t="shared" si="91"/>
        <v>0</v>
      </c>
      <c r="BF298" s="59">
        <f t="shared" si="91"/>
        <v>0</v>
      </c>
      <c r="BG298" s="59">
        <f t="shared" si="91"/>
        <v>0.57999999999999996</v>
      </c>
      <c r="BH298" s="235"/>
      <c r="BI298" s="79"/>
      <c r="BJ298" s="79"/>
      <c r="BK298" s="25"/>
      <c r="BL298" s="229"/>
      <c r="BM298" s="236"/>
    </row>
    <row r="299" spans="1:65" s="252" customFormat="1" ht="31.5" x14ac:dyDescent="0.25">
      <c r="A299" s="147">
        <f>A297+1</f>
        <v>198</v>
      </c>
      <c r="B299" s="97" t="s">
        <v>671</v>
      </c>
      <c r="C299" s="223" t="s">
        <v>65</v>
      </c>
      <c r="D299" s="218" t="s">
        <v>45</v>
      </c>
      <c r="E299" s="20">
        <f t="shared" ref="E299:E324" si="92">F299+G299</f>
        <v>1</v>
      </c>
      <c r="F299" s="20"/>
      <c r="G299" s="28">
        <f>SUM(H299:M299,Q299,U299,Y299:BG299)</f>
        <v>1</v>
      </c>
      <c r="H299" s="240"/>
      <c r="I299" s="240"/>
      <c r="J299" s="240"/>
      <c r="K299" s="240"/>
      <c r="L299" s="240">
        <v>1</v>
      </c>
      <c r="M299" s="238">
        <f>SUM(N299:P299)</f>
        <v>0</v>
      </c>
      <c r="N299" s="240"/>
      <c r="O299" s="240"/>
      <c r="P299" s="240"/>
      <c r="Q299" s="240"/>
      <c r="R299" s="240"/>
      <c r="S299" s="240"/>
      <c r="T299" s="240"/>
      <c r="U299" s="238">
        <f>SUM(V299:X299)</f>
        <v>0</v>
      </c>
      <c r="V299" s="49"/>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35" t="s">
        <v>672</v>
      </c>
      <c r="BI299" s="223" t="s">
        <v>65</v>
      </c>
      <c r="BJ299" s="243" t="s">
        <v>673</v>
      </c>
      <c r="BK299" s="241" t="s">
        <v>398</v>
      </c>
      <c r="BL299" s="218" t="s">
        <v>544</v>
      </c>
      <c r="BM299" s="226" t="s">
        <v>1026</v>
      </c>
    </row>
    <row r="300" spans="1:65" s="252" customFormat="1" ht="31.5" x14ac:dyDescent="0.25">
      <c r="A300" s="215">
        <f>A299+1</f>
        <v>199</v>
      </c>
      <c r="B300" s="237" t="s">
        <v>674</v>
      </c>
      <c r="C300" s="226" t="s">
        <v>82</v>
      </c>
      <c r="D300" s="218" t="s">
        <v>45</v>
      </c>
      <c r="E300" s="20">
        <f t="shared" si="92"/>
        <v>1.36</v>
      </c>
      <c r="F300" s="20">
        <v>0.24</v>
      </c>
      <c r="G300" s="28">
        <f>SUM(H300:M300,Q300,U300,Y300:BG300)</f>
        <v>1.1200000000000001</v>
      </c>
      <c r="H300" s="33"/>
      <c r="I300" s="51"/>
      <c r="J300" s="51"/>
      <c r="K300" s="51">
        <v>0.54</v>
      </c>
      <c r="L300" s="51"/>
      <c r="M300" s="235"/>
      <c r="N300" s="33"/>
      <c r="O300" s="33"/>
      <c r="P300" s="33"/>
      <c r="Q300" s="33"/>
      <c r="R300" s="33"/>
      <c r="S300" s="33"/>
      <c r="T300" s="33"/>
      <c r="U300" s="33"/>
      <c r="V300" s="32"/>
      <c r="W300" s="32"/>
      <c r="X300" s="32"/>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c r="AV300" s="235"/>
      <c r="AW300" s="235"/>
      <c r="AX300" s="235"/>
      <c r="AY300" s="235"/>
      <c r="AZ300" s="235"/>
      <c r="BA300" s="235"/>
      <c r="BB300" s="235"/>
      <c r="BC300" s="235"/>
      <c r="BD300" s="235"/>
      <c r="BE300" s="235"/>
      <c r="BF300" s="235"/>
      <c r="BG300" s="235">
        <v>0.57999999999999996</v>
      </c>
      <c r="BH300" s="128" t="s">
        <v>83</v>
      </c>
      <c r="BI300" s="226" t="s">
        <v>82</v>
      </c>
      <c r="BJ300" s="226" t="s">
        <v>675</v>
      </c>
      <c r="BK300" s="66" t="s">
        <v>398</v>
      </c>
      <c r="BL300" s="218" t="s">
        <v>544</v>
      </c>
      <c r="BM300" s="226" t="s">
        <v>1026</v>
      </c>
    </row>
    <row r="301" spans="1:65" s="252" customFormat="1" ht="47.25" x14ac:dyDescent="0.25">
      <c r="A301" s="215">
        <f>A300+1</f>
        <v>200</v>
      </c>
      <c r="B301" s="237" t="s">
        <v>676</v>
      </c>
      <c r="C301" s="226" t="s">
        <v>150</v>
      </c>
      <c r="D301" s="218" t="s">
        <v>45</v>
      </c>
      <c r="E301" s="20">
        <f t="shared" si="92"/>
        <v>1.0999999999999999</v>
      </c>
      <c r="F301" s="20">
        <v>0.45</v>
      </c>
      <c r="G301" s="28">
        <f>SUM(H301:M301,Q301,U301,Y301:BG301)</f>
        <v>0.64999999999999991</v>
      </c>
      <c r="H301" s="33">
        <v>0.24</v>
      </c>
      <c r="I301" s="51">
        <v>0.09</v>
      </c>
      <c r="J301" s="51"/>
      <c r="K301" s="51">
        <v>0.12</v>
      </c>
      <c r="L301" s="51"/>
      <c r="M301" s="235"/>
      <c r="N301" s="33"/>
      <c r="O301" s="33"/>
      <c r="P301" s="33"/>
      <c r="Q301" s="33"/>
      <c r="R301" s="33"/>
      <c r="S301" s="33"/>
      <c r="T301" s="33"/>
      <c r="U301" s="238">
        <f>SUM(V301:X301)</f>
        <v>0.2</v>
      </c>
      <c r="V301" s="32">
        <v>0.2</v>
      </c>
      <c r="W301" s="32"/>
      <c r="X301" s="32"/>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c r="AV301" s="235"/>
      <c r="AW301" s="235"/>
      <c r="AX301" s="235"/>
      <c r="AY301" s="235"/>
      <c r="AZ301" s="235"/>
      <c r="BA301" s="235"/>
      <c r="BB301" s="235"/>
      <c r="BC301" s="235"/>
      <c r="BD301" s="235"/>
      <c r="BE301" s="235"/>
      <c r="BF301" s="235"/>
      <c r="BG301" s="235"/>
      <c r="BH301" s="235" t="s">
        <v>212</v>
      </c>
      <c r="BI301" s="226" t="s">
        <v>150</v>
      </c>
      <c r="BJ301" s="226" t="s">
        <v>1012</v>
      </c>
      <c r="BK301" s="66" t="s">
        <v>68</v>
      </c>
      <c r="BL301" s="218" t="s">
        <v>544</v>
      </c>
      <c r="BM301" s="226" t="s">
        <v>1026</v>
      </c>
    </row>
    <row r="302" spans="1:65" s="256" customFormat="1" x14ac:dyDescent="0.25">
      <c r="A302" s="56" t="s">
        <v>677</v>
      </c>
      <c r="B302" s="43" t="s">
        <v>678</v>
      </c>
      <c r="C302" s="223"/>
      <c r="D302" s="44"/>
      <c r="E302" s="69">
        <f t="shared" si="92"/>
        <v>23.979999999999997</v>
      </c>
      <c r="F302" s="59"/>
      <c r="G302" s="59">
        <f>SUM(G303:G324)</f>
        <v>23.979999999999997</v>
      </c>
      <c r="H302" s="59">
        <f t="shared" ref="H302:AM302" si="93">SUM(H303:H324)</f>
        <v>2.16</v>
      </c>
      <c r="I302" s="59">
        <f t="shared" si="93"/>
        <v>0.70000000000000007</v>
      </c>
      <c r="J302" s="59">
        <f t="shared" si="93"/>
        <v>0</v>
      </c>
      <c r="K302" s="59">
        <f t="shared" si="93"/>
        <v>1.36</v>
      </c>
      <c r="L302" s="59">
        <f t="shared" si="93"/>
        <v>0.75</v>
      </c>
      <c r="M302" s="59">
        <f t="shared" si="93"/>
        <v>0</v>
      </c>
      <c r="N302" s="59">
        <f t="shared" si="93"/>
        <v>0</v>
      </c>
      <c r="O302" s="59">
        <f t="shared" si="93"/>
        <v>0</v>
      </c>
      <c r="P302" s="59">
        <f t="shared" si="93"/>
        <v>0</v>
      </c>
      <c r="Q302" s="59">
        <f t="shared" si="93"/>
        <v>0</v>
      </c>
      <c r="R302" s="59">
        <f t="shared" si="93"/>
        <v>0</v>
      </c>
      <c r="S302" s="59">
        <f t="shared" si="93"/>
        <v>0</v>
      </c>
      <c r="T302" s="59">
        <f t="shared" si="93"/>
        <v>0</v>
      </c>
      <c r="U302" s="71">
        <f t="shared" si="93"/>
        <v>14.479999999999999</v>
      </c>
      <c r="V302" s="59">
        <f t="shared" si="93"/>
        <v>10.379999999999999</v>
      </c>
      <c r="W302" s="59">
        <f t="shared" si="93"/>
        <v>4.0999999999999996</v>
      </c>
      <c r="X302" s="59">
        <f t="shared" si="93"/>
        <v>0</v>
      </c>
      <c r="Y302" s="59">
        <f t="shared" si="93"/>
        <v>0.18</v>
      </c>
      <c r="Z302" s="59">
        <f t="shared" si="93"/>
        <v>0</v>
      </c>
      <c r="AA302" s="59">
        <f t="shared" si="93"/>
        <v>0</v>
      </c>
      <c r="AB302" s="59">
        <f t="shared" si="93"/>
        <v>0</v>
      </c>
      <c r="AC302" s="59">
        <f t="shared" si="93"/>
        <v>0</v>
      </c>
      <c r="AD302" s="59">
        <f t="shared" si="93"/>
        <v>0</v>
      </c>
      <c r="AE302" s="59">
        <f t="shared" si="93"/>
        <v>0</v>
      </c>
      <c r="AF302" s="59">
        <f t="shared" si="93"/>
        <v>0.25</v>
      </c>
      <c r="AG302" s="59">
        <f t="shared" si="93"/>
        <v>0.02</v>
      </c>
      <c r="AH302" s="59">
        <f t="shared" si="93"/>
        <v>0</v>
      </c>
      <c r="AI302" s="59">
        <f t="shared" si="93"/>
        <v>0</v>
      </c>
      <c r="AJ302" s="59">
        <f t="shared" si="93"/>
        <v>0</v>
      </c>
      <c r="AK302" s="59">
        <f t="shared" si="93"/>
        <v>0</v>
      </c>
      <c r="AL302" s="59">
        <f t="shared" si="93"/>
        <v>0</v>
      </c>
      <c r="AM302" s="59">
        <f t="shared" si="93"/>
        <v>0</v>
      </c>
      <c r="AN302" s="59">
        <f t="shared" ref="AN302:BG302" si="94">SUM(AN303:AN324)</f>
        <v>0</v>
      </c>
      <c r="AO302" s="59">
        <f t="shared" si="94"/>
        <v>0</v>
      </c>
      <c r="AP302" s="59">
        <f t="shared" si="94"/>
        <v>0</v>
      </c>
      <c r="AQ302" s="59">
        <f t="shared" si="94"/>
        <v>0</v>
      </c>
      <c r="AR302" s="59">
        <f t="shared" si="94"/>
        <v>0</v>
      </c>
      <c r="AS302" s="59">
        <f t="shared" si="94"/>
        <v>0</v>
      </c>
      <c r="AT302" s="59">
        <f t="shared" si="94"/>
        <v>0</v>
      </c>
      <c r="AU302" s="59">
        <f t="shared" si="94"/>
        <v>0</v>
      </c>
      <c r="AV302" s="59">
        <f t="shared" si="94"/>
        <v>0</v>
      </c>
      <c r="AW302" s="59">
        <f t="shared" si="94"/>
        <v>0</v>
      </c>
      <c r="AX302" s="59">
        <f t="shared" si="94"/>
        <v>0</v>
      </c>
      <c r="AY302" s="59">
        <f t="shared" si="94"/>
        <v>0</v>
      </c>
      <c r="AZ302" s="59">
        <f t="shared" si="94"/>
        <v>0</v>
      </c>
      <c r="BA302" s="59">
        <f t="shared" si="94"/>
        <v>0</v>
      </c>
      <c r="BB302" s="59">
        <f t="shared" si="94"/>
        <v>0</v>
      </c>
      <c r="BC302" s="59">
        <f t="shared" si="94"/>
        <v>0</v>
      </c>
      <c r="BD302" s="59">
        <f t="shared" si="94"/>
        <v>0</v>
      </c>
      <c r="BE302" s="59">
        <f t="shared" si="94"/>
        <v>0</v>
      </c>
      <c r="BF302" s="59">
        <f t="shared" si="94"/>
        <v>0</v>
      </c>
      <c r="BG302" s="59">
        <f t="shared" si="94"/>
        <v>4.08</v>
      </c>
      <c r="BH302" s="235"/>
      <c r="BI302" s="223"/>
      <c r="BJ302" s="223"/>
      <c r="BK302" s="220"/>
      <c r="BL302" s="218"/>
      <c r="BM302" s="243"/>
    </row>
    <row r="303" spans="1:65" s="252" customFormat="1" ht="47.25" x14ac:dyDescent="0.25">
      <c r="A303" s="223">
        <f>A301+1</f>
        <v>201</v>
      </c>
      <c r="B303" s="221" t="s">
        <v>679</v>
      </c>
      <c r="C303" s="223" t="s">
        <v>65</v>
      </c>
      <c r="D303" s="243" t="s">
        <v>47</v>
      </c>
      <c r="E303" s="20">
        <f t="shared" si="92"/>
        <v>0.04</v>
      </c>
      <c r="F303" s="20"/>
      <c r="G303" s="28">
        <f t="shared" ref="G303:G324" si="95">SUM(H303:M303,Q303,U303,Y303:BG303)</f>
        <v>0.04</v>
      </c>
      <c r="H303" s="238"/>
      <c r="I303" s="238">
        <v>0.04</v>
      </c>
      <c r="J303" s="238"/>
      <c r="K303" s="238"/>
      <c r="L303" s="238"/>
      <c r="M303" s="238">
        <f>SUM(N303:P303)</f>
        <v>0</v>
      </c>
      <c r="N303" s="238"/>
      <c r="O303" s="238"/>
      <c r="P303" s="238"/>
      <c r="Q303" s="238"/>
      <c r="R303" s="238"/>
      <c r="S303" s="238"/>
      <c r="T303" s="238"/>
      <c r="U303" s="238">
        <f t="shared" ref="U303:U319" si="96">SUM(V303:X303)</f>
        <v>0</v>
      </c>
      <c r="V303" s="238"/>
      <c r="W303" s="238"/>
      <c r="X303" s="238"/>
      <c r="Y303" s="238"/>
      <c r="Z303" s="238"/>
      <c r="AA303" s="238"/>
      <c r="AB303" s="238"/>
      <c r="AC303" s="23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5" t="s">
        <v>311</v>
      </c>
      <c r="BI303" s="223" t="s">
        <v>65</v>
      </c>
      <c r="BJ303" s="226" t="s">
        <v>680</v>
      </c>
      <c r="BK303" s="233" t="s">
        <v>120</v>
      </c>
      <c r="BL303" s="218" t="s">
        <v>681</v>
      </c>
      <c r="BM303" s="226" t="s">
        <v>206</v>
      </c>
    </row>
    <row r="304" spans="1:65" s="252" customFormat="1" ht="47.25" x14ac:dyDescent="0.25">
      <c r="A304" s="223">
        <f>A303+1</f>
        <v>202</v>
      </c>
      <c r="B304" s="221" t="s">
        <v>682</v>
      </c>
      <c r="C304" s="90" t="s">
        <v>122</v>
      </c>
      <c r="D304" s="218" t="s">
        <v>47</v>
      </c>
      <c r="E304" s="20">
        <f t="shared" si="92"/>
        <v>1.32</v>
      </c>
      <c r="F304" s="21"/>
      <c r="G304" s="28">
        <f t="shared" si="95"/>
        <v>1.32</v>
      </c>
      <c r="H304" s="102"/>
      <c r="I304" s="102"/>
      <c r="J304" s="102"/>
      <c r="K304" s="102"/>
      <c r="L304" s="102"/>
      <c r="M304" s="102"/>
      <c r="N304" s="102"/>
      <c r="O304" s="102"/>
      <c r="P304" s="102"/>
      <c r="Q304" s="102"/>
      <c r="R304" s="102"/>
      <c r="S304" s="102"/>
      <c r="T304" s="102"/>
      <c r="U304" s="238">
        <f t="shared" si="96"/>
        <v>1.32</v>
      </c>
      <c r="V304" s="240">
        <f>0.99+0.32</f>
        <v>1.31</v>
      </c>
      <c r="W304" s="240">
        <v>0.01</v>
      </c>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235" t="s">
        <v>683</v>
      </c>
      <c r="BI304" s="90" t="s">
        <v>122</v>
      </c>
      <c r="BJ304" s="218" t="s">
        <v>1009</v>
      </c>
      <c r="BK304" s="233" t="s">
        <v>120</v>
      </c>
      <c r="BL304" s="218" t="s">
        <v>684</v>
      </c>
      <c r="BM304" s="226" t="s">
        <v>1026</v>
      </c>
    </row>
    <row r="305" spans="1:65" s="252" customFormat="1" ht="31.5" x14ac:dyDescent="0.25">
      <c r="A305" s="223">
        <f t="shared" ref="A305:A309" si="97">A304+1</f>
        <v>203</v>
      </c>
      <c r="B305" s="35" t="s">
        <v>685</v>
      </c>
      <c r="C305" s="226" t="s">
        <v>122</v>
      </c>
      <c r="D305" s="243" t="s">
        <v>47</v>
      </c>
      <c r="E305" s="20">
        <f t="shared" si="92"/>
        <v>0.21</v>
      </c>
      <c r="F305" s="20"/>
      <c r="G305" s="28">
        <f t="shared" si="95"/>
        <v>0.21</v>
      </c>
      <c r="H305" s="238"/>
      <c r="I305" s="238"/>
      <c r="J305" s="238"/>
      <c r="K305" s="238"/>
      <c r="L305" s="238"/>
      <c r="M305" s="238">
        <v>0</v>
      </c>
      <c r="N305" s="238"/>
      <c r="O305" s="238"/>
      <c r="P305" s="238"/>
      <c r="Q305" s="238">
        <v>0</v>
      </c>
      <c r="R305" s="238"/>
      <c r="S305" s="238"/>
      <c r="T305" s="238"/>
      <c r="U305" s="238">
        <f t="shared" si="96"/>
        <v>0.21</v>
      </c>
      <c r="V305" s="238">
        <v>0.21</v>
      </c>
      <c r="W305" s="238"/>
      <c r="X305" s="238"/>
      <c r="Y305" s="238"/>
      <c r="Z305" s="238"/>
      <c r="AA305" s="238"/>
      <c r="AB305" s="238"/>
      <c r="AC305" s="238"/>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55" t="s">
        <v>1008</v>
      </c>
      <c r="BI305" s="226" t="s">
        <v>122</v>
      </c>
      <c r="BJ305" s="218" t="s">
        <v>686</v>
      </c>
      <c r="BK305" s="233" t="s">
        <v>120</v>
      </c>
      <c r="BL305" s="218" t="s">
        <v>202</v>
      </c>
      <c r="BM305" s="226" t="s">
        <v>1026</v>
      </c>
    </row>
    <row r="306" spans="1:65" s="252" customFormat="1" ht="47.25" x14ac:dyDescent="0.25">
      <c r="A306" s="223">
        <f t="shared" si="97"/>
        <v>204</v>
      </c>
      <c r="B306" s="221" t="s">
        <v>687</v>
      </c>
      <c r="C306" s="226" t="s">
        <v>134</v>
      </c>
      <c r="D306" s="243" t="s">
        <v>47</v>
      </c>
      <c r="E306" s="20">
        <f t="shared" si="92"/>
        <v>0.06</v>
      </c>
      <c r="F306" s="20"/>
      <c r="G306" s="28">
        <f t="shared" si="95"/>
        <v>0.06</v>
      </c>
      <c r="H306" s="238"/>
      <c r="I306" s="238"/>
      <c r="J306" s="238"/>
      <c r="K306" s="238"/>
      <c r="L306" s="238"/>
      <c r="M306" s="238">
        <f>SUM(N306:P306)</f>
        <v>0</v>
      </c>
      <c r="N306" s="238"/>
      <c r="O306" s="238"/>
      <c r="P306" s="238"/>
      <c r="Q306" s="238"/>
      <c r="R306" s="238"/>
      <c r="S306" s="238"/>
      <c r="T306" s="238"/>
      <c r="U306" s="238">
        <f t="shared" si="96"/>
        <v>0.06</v>
      </c>
      <c r="V306" s="238">
        <v>0.06</v>
      </c>
      <c r="W306" s="238"/>
      <c r="X306" s="238"/>
      <c r="Y306" s="238"/>
      <c r="Z306" s="238"/>
      <c r="AA306" s="238"/>
      <c r="AB306" s="238"/>
      <c r="AC306" s="238"/>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5" t="s">
        <v>688</v>
      </c>
      <c r="BI306" s="226" t="s">
        <v>134</v>
      </c>
      <c r="BJ306" s="191" t="s">
        <v>1010</v>
      </c>
      <c r="BK306" s="233" t="s">
        <v>120</v>
      </c>
      <c r="BL306" s="218" t="s">
        <v>202</v>
      </c>
      <c r="BM306" s="226" t="s">
        <v>1026</v>
      </c>
    </row>
    <row r="307" spans="1:65" s="252" customFormat="1" ht="47.25" x14ac:dyDescent="0.25">
      <c r="A307" s="245">
        <f t="shared" si="97"/>
        <v>205</v>
      </c>
      <c r="B307" s="35" t="s">
        <v>689</v>
      </c>
      <c r="C307" s="219" t="s">
        <v>95</v>
      </c>
      <c r="D307" s="243" t="s">
        <v>47</v>
      </c>
      <c r="E307" s="20">
        <f t="shared" si="92"/>
        <v>1</v>
      </c>
      <c r="F307" s="20"/>
      <c r="G307" s="28">
        <f t="shared" si="95"/>
        <v>1</v>
      </c>
      <c r="H307" s="238">
        <v>0.56000000000000005</v>
      </c>
      <c r="I307" s="238"/>
      <c r="J307" s="238"/>
      <c r="K307" s="238">
        <v>0.1</v>
      </c>
      <c r="L307" s="238"/>
      <c r="M307" s="238">
        <f>SUM(N307:P307)</f>
        <v>0</v>
      </c>
      <c r="N307" s="238"/>
      <c r="O307" s="238"/>
      <c r="P307" s="238"/>
      <c r="Q307" s="238"/>
      <c r="R307" s="238"/>
      <c r="S307" s="238"/>
      <c r="T307" s="238"/>
      <c r="U307" s="238">
        <f t="shared" si="96"/>
        <v>0</v>
      </c>
      <c r="V307" s="238"/>
      <c r="W307" s="238"/>
      <c r="X307" s="238"/>
      <c r="Y307" s="238"/>
      <c r="Z307" s="238"/>
      <c r="AA307" s="238"/>
      <c r="AB307" s="238"/>
      <c r="AC307" s="238"/>
      <c r="AD307" s="238"/>
      <c r="AE307" s="238"/>
      <c r="AF307" s="238">
        <v>0.04</v>
      </c>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v>0.3</v>
      </c>
      <c r="BH307" s="219" t="s">
        <v>690</v>
      </c>
      <c r="BI307" s="219" t="s">
        <v>95</v>
      </c>
      <c r="BJ307" s="226" t="s">
        <v>691</v>
      </c>
      <c r="BK307" s="233" t="s">
        <v>375</v>
      </c>
      <c r="BL307" s="218" t="s">
        <v>202</v>
      </c>
      <c r="BM307" s="226" t="s">
        <v>1026</v>
      </c>
    </row>
    <row r="308" spans="1:65" s="252" customFormat="1" ht="31.5" x14ac:dyDescent="0.25">
      <c r="A308" s="223">
        <f t="shared" si="97"/>
        <v>206</v>
      </c>
      <c r="B308" s="221" t="s">
        <v>692</v>
      </c>
      <c r="C308" s="226" t="s">
        <v>154</v>
      </c>
      <c r="D308" s="243" t="s">
        <v>47</v>
      </c>
      <c r="E308" s="20">
        <f t="shared" si="92"/>
        <v>0.3</v>
      </c>
      <c r="F308" s="20"/>
      <c r="G308" s="28">
        <f t="shared" si="95"/>
        <v>0.3</v>
      </c>
      <c r="H308" s="30"/>
      <c r="I308" s="30"/>
      <c r="J308" s="30"/>
      <c r="K308" s="30"/>
      <c r="L308" s="30"/>
      <c r="M308" s="30">
        <f>SUM(N308:P308)</f>
        <v>0</v>
      </c>
      <c r="N308" s="30"/>
      <c r="O308" s="30"/>
      <c r="P308" s="30"/>
      <c r="Q308" s="30"/>
      <c r="R308" s="30"/>
      <c r="S308" s="30"/>
      <c r="T308" s="30"/>
      <c r="U308" s="238">
        <f t="shared" si="96"/>
        <v>0.3</v>
      </c>
      <c r="V308" s="30">
        <v>0.3</v>
      </c>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235" t="s">
        <v>155</v>
      </c>
      <c r="BI308" s="226" t="s">
        <v>154</v>
      </c>
      <c r="BJ308" s="226" t="s">
        <v>1090</v>
      </c>
      <c r="BK308" s="233" t="s">
        <v>120</v>
      </c>
      <c r="BL308" s="218" t="s">
        <v>202</v>
      </c>
      <c r="BM308" s="226" t="s">
        <v>1026</v>
      </c>
    </row>
    <row r="309" spans="1:65" s="252" customFormat="1" ht="31.5" x14ac:dyDescent="0.25">
      <c r="A309" s="223">
        <f t="shared" si="97"/>
        <v>207</v>
      </c>
      <c r="B309" s="237" t="s">
        <v>693</v>
      </c>
      <c r="C309" s="226" t="s">
        <v>106</v>
      </c>
      <c r="D309" s="243" t="s">
        <v>47</v>
      </c>
      <c r="E309" s="20">
        <f t="shared" si="92"/>
        <v>0.3</v>
      </c>
      <c r="F309" s="20"/>
      <c r="G309" s="28">
        <f t="shared" si="95"/>
        <v>0.3</v>
      </c>
      <c r="H309" s="222"/>
      <c r="I309" s="222"/>
      <c r="J309" s="222"/>
      <c r="K309" s="222"/>
      <c r="L309" s="222"/>
      <c r="M309" s="222">
        <f>SUM(N309:P309)</f>
        <v>0</v>
      </c>
      <c r="N309" s="222"/>
      <c r="O309" s="222"/>
      <c r="P309" s="222"/>
      <c r="Q309" s="222"/>
      <c r="R309" s="222"/>
      <c r="S309" s="222"/>
      <c r="T309" s="222"/>
      <c r="U309" s="238">
        <f t="shared" si="96"/>
        <v>0.3</v>
      </c>
      <c r="V309" s="222">
        <v>0.3</v>
      </c>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2"/>
      <c r="AY309" s="222"/>
      <c r="AZ309" s="222"/>
      <c r="BA309" s="222"/>
      <c r="BB309" s="222"/>
      <c r="BC309" s="222"/>
      <c r="BD309" s="222"/>
      <c r="BE309" s="222"/>
      <c r="BF309" s="222"/>
      <c r="BG309" s="222"/>
      <c r="BH309" s="222" t="s">
        <v>532</v>
      </c>
      <c r="BI309" s="226" t="s">
        <v>106</v>
      </c>
      <c r="BJ309" s="226" t="s">
        <v>694</v>
      </c>
      <c r="BK309" s="233" t="s">
        <v>120</v>
      </c>
      <c r="BL309" s="218" t="s">
        <v>202</v>
      </c>
      <c r="BM309" s="226" t="s">
        <v>1026</v>
      </c>
    </row>
    <row r="310" spans="1:65" s="334" customFormat="1" ht="31.5" x14ac:dyDescent="0.25">
      <c r="A310" s="416">
        <f>A309+1</f>
        <v>208</v>
      </c>
      <c r="B310" s="417" t="s">
        <v>695</v>
      </c>
      <c r="C310" s="321" t="s">
        <v>134</v>
      </c>
      <c r="D310" s="337" t="s">
        <v>47</v>
      </c>
      <c r="E310" s="338">
        <f t="shared" si="92"/>
        <v>2</v>
      </c>
      <c r="F310" s="338"/>
      <c r="G310" s="339">
        <f t="shared" si="95"/>
        <v>2</v>
      </c>
      <c r="H310" s="340"/>
      <c r="I310" s="340">
        <f>0.35-0.05</f>
        <v>0.3</v>
      </c>
      <c r="J310" s="340"/>
      <c r="K310" s="340">
        <v>0.4</v>
      </c>
      <c r="L310" s="340"/>
      <c r="M310" s="340"/>
      <c r="N310" s="340"/>
      <c r="O310" s="340"/>
      <c r="P310" s="340"/>
      <c r="Q310" s="340"/>
      <c r="R310" s="340"/>
      <c r="S310" s="340"/>
      <c r="T310" s="340"/>
      <c r="U310" s="340">
        <f t="shared" si="96"/>
        <v>0.67</v>
      </c>
      <c r="V310" s="340">
        <f>0.4-0.05+0.22</f>
        <v>0.57000000000000006</v>
      </c>
      <c r="W310" s="340">
        <v>0.1</v>
      </c>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0"/>
      <c r="AS310" s="340"/>
      <c r="AT310" s="340"/>
      <c r="AU310" s="340"/>
      <c r="AV310" s="340"/>
      <c r="AW310" s="340"/>
      <c r="AX310" s="340"/>
      <c r="AY310" s="340"/>
      <c r="AZ310" s="340"/>
      <c r="BA310" s="340"/>
      <c r="BB310" s="340"/>
      <c r="BC310" s="340"/>
      <c r="BD310" s="340"/>
      <c r="BE310" s="340"/>
      <c r="BF310" s="340"/>
      <c r="BG310" s="340">
        <f>1.75-0.9-0.22</f>
        <v>0.63</v>
      </c>
      <c r="BH310" s="341" t="s">
        <v>696</v>
      </c>
      <c r="BI310" s="342" t="s">
        <v>134</v>
      </c>
      <c r="BJ310" s="343" t="s">
        <v>697</v>
      </c>
      <c r="BK310" s="344" t="s">
        <v>120</v>
      </c>
      <c r="BL310" s="345" t="s">
        <v>202</v>
      </c>
      <c r="BM310" s="342" t="s">
        <v>1026</v>
      </c>
    </row>
    <row r="311" spans="1:65" s="334" customFormat="1" ht="63" x14ac:dyDescent="0.25">
      <c r="A311" s="416"/>
      <c r="B311" s="417"/>
      <c r="C311" s="321" t="s">
        <v>122</v>
      </c>
      <c r="D311" s="337" t="s">
        <v>47</v>
      </c>
      <c r="E311" s="338">
        <f t="shared" si="92"/>
        <v>1.3</v>
      </c>
      <c r="F311" s="338"/>
      <c r="G311" s="339">
        <f t="shared" si="95"/>
        <v>1.3</v>
      </c>
      <c r="H311" s="340">
        <v>0</v>
      </c>
      <c r="I311" s="340">
        <v>0</v>
      </c>
      <c r="J311" s="340">
        <v>0</v>
      </c>
      <c r="K311" s="340">
        <v>0</v>
      </c>
      <c r="L311" s="340">
        <v>0</v>
      </c>
      <c r="M311" s="340">
        <v>0</v>
      </c>
      <c r="N311" s="340">
        <v>0</v>
      </c>
      <c r="O311" s="340">
        <v>0</v>
      </c>
      <c r="P311" s="340">
        <v>0</v>
      </c>
      <c r="Q311" s="340">
        <v>0</v>
      </c>
      <c r="R311" s="340">
        <v>0</v>
      </c>
      <c r="S311" s="340">
        <v>0</v>
      </c>
      <c r="T311" s="340">
        <v>0</v>
      </c>
      <c r="U311" s="340">
        <v>1.3</v>
      </c>
      <c r="V311" s="340">
        <v>1.3</v>
      </c>
      <c r="W311" s="340">
        <v>0</v>
      </c>
      <c r="X311" s="340">
        <v>0</v>
      </c>
      <c r="Y311" s="340">
        <v>0</v>
      </c>
      <c r="Z311" s="340">
        <v>0</v>
      </c>
      <c r="AA311" s="340">
        <v>0</v>
      </c>
      <c r="AB311" s="340">
        <v>0</v>
      </c>
      <c r="AC311" s="340">
        <v>0</v>
      </c>
      <c r="AD311" s="340">
        <v>0</v>
      </c>
      <c r="AE311" s="340">
        <v>0</v>
      </c>
      <c r="AF311" s="340">
        <v>0</v>
      </c>
      <c r="AG311" s="340">
        <v>0</v>
      </c>
      <c r="AH311" s="340">
        <v>0</v>
      </c>
      <c r="AI311" s="340">
        <v>0</v>
      </c>
      <c r="AJ311" s="340">
        <v>0</v>
      </c>
      <c r="AK311" s="340">
        <v>0</v>
      </c>
      <c r="AL311" s="340">
        <v>0</v>
      </c>
      <c r="AM311" s="340">
        <v>0</v>
      </c>
      <c r="AN311" s="340">
        <v>0</v>
      </c>
      <c r="AO311" s="340">
        <v>0</v>
      </c>
      <c r="AP311" s="340">
        <v>0</v>
      </c>
      <c r="AQ311" s="340">
        <v>0</v>
      </c>
      <c r="AR311" s="340">
        <v>0</v>
      </c>
      <c r="AS311" s="340">
        <v>0</v>
      </c>
      <c r="AT311" s="340">
        <v>0</v>
      </c>
      <c r="AU311" s="340">
        <v>0</v>
      </c>
      <c r="AV311" s="340">
        <v>0</v>
      </c>
      <c r="AW311" s="340">
        <v>0</v>
      </c>
      <c r="AX311" s="340">
        <v>0</v>
      </c>
      <c r="AY311" s="340">
        <v>0</v>
      </c>
      <c r="AZ311" s="340">
        <v>0</v>
      </c>
      <c r="BA311" s="340">
        <v>0</v>
      </c>
      <c r="BB311" s="340">
        <v>0</v>
      </c>
      <c r="BC311" s="340">
        <v>0</v>
      </c>
      <c r="BD311" s="340">
        <v>0</v>
      </c>
      <c r="BE311" s="340">
        <v>0</v>
      </c>
      <c r="BF311" s="340">
        <v>0</v>
      </c>
      <c r="BG311" s="340">
        <v>0</v>
      </c>
      <c r="BH311" s="341" t="s">
        <v>698</v>
      </c>
      <c r="BI311" s="342" t="s">
        <v>122</v>
      </c>
      <c r="BJ311" s="343" t="s">
        <v>699</v>
      </c>
      <c r="BK311" s="344" t="s">
        <v>120</v>
      </c>
      <c r="BL311" s="345" t="s">
        <v>202</v>
      </c>
      <c r="BM311" s="342" t="s">
        <v>1070</v>
      </c>
    </row>
    <row r="312" spans="1:65" s="334" customFormat="1" ht="31.5" x14ac:dyDescent="0.25">
      <c r="A312" s="416"/>
      <c r="B312" s="417"/>
      <c r="C312" s="321" t="s">
        <v>71</v>
      </c>
      <c r="D312" s="337" t="s">
        <v>47</v>
      </c>
      <c r="E312" s="338">
        <f t="shared" si="92"/>
        <v>1</v>
      </c>
      <c r="F312" s="338"/>
      <c r="G312" s="339">
        <f t="shared" si="95"/>
        <v>1</v>
      </c>
      <c r="H312" s="348">
        <v>0.7</v>
      </c>
      <c r="I312" s="348"/>
      <c r="J312" s="348"/>
      <c r="K312" s="348">
        <v>0.02</v>
      </c>
      <c r="L312" s="348">
        <v>0.05</v>
      </c>
      <c r="M312" s="348"/>
      <c r="N312" s="348"/>
      <c r="O312" s="348"/>
      <c r="P312" s="348"/>
      <c r="Q312" s="348"/>
      <c r="R312" s="348"/>
      <c r="S312" s="348"/>
      <c r="T312" s="348"/>
      <c r="U312" s="340">
        <f t="shared" si="96"/>
        <v>0.1</v>
      </c>
      <c r="V312" s="348">
        <v>0.1</v>
      </c>
      <c r="W312" s="348"/>
      <c r="X312" s="348"/>
      <c r="Y312" s="348">
        <v>7.0000000000000007E-2</v>
      </c>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v>0.06</v>
      </c>
      <c r="BH312" s="347" t="s">
        <v>700</v>
      </c>
      <c r="BI312" s="342" t="s">
        <v>71</v>
      </c>
      <c r="BJ312" s="347" t="s">
        <v>701</v>
      </c>
      <c r="BK312" s="344" t="s">
        <v>120</v>
      </c>
      <c r="BL312" s="345" t="s">
        <v>202</v>
      </c>
      <c r="BM312" s="342" t="s">
        <v>1026</v>
      </c>
    </row>
    <row r="313" spans="1:65" s="334" customFormat="1" ht="31.5" x14ac:dyDescent="0.25">
      <c r="A313" s="416"/>
      <c r="B313" s="417"/>
      <c r="C313" s="318" t="s">
        <v>79</v>
      </c>
      <c r="D313" s="320" t="s">
        <v>47</v>
      </c>
      <c r="E313" s="265">
        <f t="shared" si="92"/>
        <v>1</v>
      </c>
      <c r="F313" s="265"/>
      <c r="G313" s="267">
        <f t="shared" si="95"/>
        <v>1</v>
      </c>
      <c r="H313" s="317">
        <v>0</v>
      </c>
      <c r="I313" s="317">
        <v>0</v>
      </c>
      <c r="J313" s="317">
        <v>0</v>
      </c>
      <c r="K313" s="317"/>
      <c r="L313" s="317">
        <v>0</v>
      </c>
      <c r="M313" s="317">
        <v>0</v>
      </c>
      <c r="N313" s="317">
        <v>0</v>
      </c>
      <c r="O313" s="317">
        <v>0</v>
      </c>
      <c r="P313" s="317">
        <v>0</v>
      </c>
      <c r="Q313" s="317">
        <v>0</v>
      </c>
      <c r="R313" s="317">
        <v>0</v>
      </c>
      <c r="S313" s="317">
        <v>0</v>
      </c>
      <c r="T313" s="317">
        <v>0</v>
      </c>
      <c r="U313" s="317">
        <f t="shared" si="96"/>
        <v>1</v>
      </c>
      <c r="V313" s="317">
        <v>1</v>
      </c>
      <c r="W313" s="317"/>
      <c r="X313" s="317"/>
      <c r="Y313" s="317"/>
      <c r="Z313" s="317"/>
      <c r="AA313" s="317"/>
      <c r="AB313" s="317"/>
      <c r="AC313" s="317"/>
      <c r="AD313" s="317"/>
      <c r="AE313" s="317"/>
      <c r="AF313" s="317"/>
      <c r="AG313" s="317"/>
      <c r="AH313" s="317"/>
      <c r="AI313" s="317"/>
      <c r="AJ313" s="317"/>
      <c r="AK313" s="317"/>
      <c r="AL313" s="317"/>
      <c r="AM313" s="317"/>
      <c r="AN313" s="317"/>
      <c r="AO313" s="317"/>
      <c r="AP313" s="317"/>
      <c r="AQ313" s="317"/>
      <c r="AR313" s="317"/>
      <c r="AS313" s="317"/>
      <c r="AT313" s="317"/>
      <c r="AU313" s="317"/>
      <c r="AV313" s="317"/>
      <c r="AW313" s="317"/>
      <c r="AX313" s="317"/>
      <c r="AY313" s="317"/>
      <c r="AZ313" s="317"/>
      <c r="BA313" s="317"/>
      <c r="BB313" s="317"/>
      <c r="BC313" s="317"/>
      <c r="BD313" s="317"/>
      <c r="BE313" s="317"/>
      <c r="BF313" s="317"/>
      <c r="BG313" s="317"/>
      <c r="BH313" s="315" t="s">
        <v>126</v>
      </c>
      <c r="BI313" s="318" t="s">
        <v>79</v>
      </c>
      <c r="BJ313" s="321" t="s">
        <v>702</v>
      </c>
      <c r="BK313" s="322" t="s">
        <v>120</v>
      </c>
      <c r="BL313" s="316" t="s">
        <v>202</v>
      </c>
      <c r="BM313" s="321" t="s">
        <v>1026</v>
      </c>
    </row>
    <row r="314" spans="1:65" s="334" customFormat="1" ht="31.5" x14ac:dyDescent="0.25">
      <c r="A314" s="416"/>
      <c r="B314" s="417"/>
      <c r="C314" s="315" t="s">
        <v>82</v>
      </c>
      <c r="D314" s="337" t="s">
        <v>47</v>
      </c>
      <c r="E314" s="338">
        <f t="shared" si="92"/>
        <v>1</v>
      </c>
      <c r="F314" s="338"/>
      <c r="G314" s="339">
        <f t="shared" si="95"/>
        <v>1</v>
      </c>
      <c r="H314" s="340"/>
      <c r="I314" s="340">
        <v>0.13</v>
      </c>
      <c r="J314" s="340">
        <v>0</v>
      </c>
      <c r="K314" s="340">
        <v>0.17</v>
      </c>
      <c r="L314" s="340">
        <v>0.7</v>
      </c>
      <c r="M314" s="340">
        <v>0</v>
      </c>
      <c r="N314" s="340">
        <v>0</v>
      </c>
      <c r="O314" s="340">
        <v>0</v>
      </c>
      <c r="P314" s="340">
        <v>0</v>
      </c>
      <c r="Q314" s="340">
        <v>0</v>
      </c>
      <c r="R314" s="340">
        <v>0</v>
      </c>
      <c r="S314" s="340">
        <v>0</v>
      </c>
      <c r="T314" s="340">
        <v>0</v>
      </c>
      <c r="U314" s="340">
        <f t="shared" si="96"/>
        <v>0</v>
      </c>
      <c r="V314" s="346"/>
      <c r="W314" s="340"/>
      <c r="X314" s="340"/>
      <c r="Y314" s="340"/>
      <c r="Z314" s="340">
        <v>0</v>
      </c>
      <c r="AA314" s="340">
        <v>0</v>
      </c>
      <c r="AB314" s="340">
        <v>0</v>
      </c>
      <c r="AC314" s="340">
        <v>0</v>
      </c>
      <c r="AD314" s="340">
        <v>0</v>
      </c>
      <c r="AE314" s="340">
        <v>0</v>
      </c>
      <c r="AF314" s="340">
        <v>0</v>
      </c>
      <c r="AG314" s="340">
        <v>0</v>
      </c>
      <c r="AH314" s="340">
        <v>0</v>
      </c>
      <c r="AI314" s="340">
        <v>0</v>
      </c>
      <c r="AJ314" s="340">
        <v>0</v>
      </c>
      <c r="AK314" s="340">
        <v>0</v>
      </c>
      <c r="AL314" s="340">
        <v>0</v>
      </c>
      <c r="AM314" s="340">
        <v>0</v>
      </c>
      <c r="AN314" s="340">
        <v>0</v>
      </c>
      <c r="AO314" s="340">
        <v>0</v>
      </c>
      <c r="AP314" s="340">
        <v>0</v>
      </c>
      <c r="AQ314" s="340">
        <v>0</v>
      </c>
      <c r="AR314" s="340">
        <v>0</v>
      </c>
      <c r="AS314" s="340">
        <v>0</v>
      </c>
      <c r="AT314" s="340">
        <v>0</v>
      </c>
      <c r="AU314" s="340">
        <v>0</v>
      </c>
      <c r="AV314" s="340">
        <v>0</v>
      </c>
      <c r="AW314" s="340">
        <v>0</v>
      </c>
      <c r="AX314" s="340">
        <v>0</v>
      </c>
      <c r="AY314" s="340">
        <v>0</v>
      </c>
      <c r="AZ314" s="340">
        <v>0</v>
      </c>
      <c r="BA314" s="340">
        <v>0</v>
      </c>
      <c r="BB314" s="340">
        <v>0</v>
      </c>
      <c r="BC314" s="340">
        <v>0</v>
      </c>
      <c r="BD314" s="340">
        <v>0</v>
      </c>
      <c r="BE314" s="340">
        <v>0</v>
      </c>
      <c r="BF314" s="340">
        <v>0</v>
      </c>
      <c r="BG314" s="340"/>
      <c r="BH314" s="347" t="s">
        <v>703</v>
      </c>
      <c r="BI314" s="347" t="s">
        <v>82</v>
      </c>
      <c r="BJ314" s="342" t="s">
        <v>704</v>
      </c>
      <c r="BK314" s="344" t="s">
        <v>120</v>
      </c>
      <c r="BL314" s="345" t="s">
        <v>202</v>
      </c>
      <c r="BM314" s="342" t="s">
        <v>1026</v>
      </c>
    </row>
    <row r="315" spans="1:65" s="334" customFormat="1" ht="63" x14ac:dyDescent="0.25">
      <c r="A315" s="416">
        <f>A310</f>
        <v>208</v>
      </c>
      <c r="B315" s="417" t="s">
        <v>695</v>
      </c>
      <c r="C315" s="321" t="s">
        <v>87</v>
      </c>
      <c r="D315" s="320" t="s">
        <v>47</v>
      </c>
      <c r="E315" s="265">
        <f t="shared" si="92"/>
        <v>13.490000000000002</v>
      </c>
      <c r="F315" s="350">
        <f>G310+G311+G312+G314+G317+G318+G321+G324</f>
        <v>11.990000000000002</v>
      </c>
      <c r="G315" s="267">
        <f t="shared" si="95"/>
        <v>1.5</v>
      </c>
      <c r="H315" s="287">
        <v>0.36</v>
      </c>
      <c r="I315" s="287"/>
      <c r="J315" s="287"/>
      <c r="K315" s="287">
        <v>0.41</v>
      </c>
      <c r="L315" s="287"/>
      <c r="M315" s="287"/>
      <c r="N315" s="287"/>
      <c r="O315" s="287"/>
      <c r="P315" s="287"/>
      <c r="Q315" s="287"/>
      <c r="R315" s="287"/>
      <c r="S315" s="287"/>
      <c r="T315" s="287"/>
      <c r="U315" s="317">
        <f t="shared" si="96"/>
        <v>0.42</v>
      </c>
      <c r="V315" s="335"/>
      <c r="W315" s="287">
        <v>0.42</v>
      </c>
      <c r="X315" s="287"/>
      <c r="Y315" s="287">
        <v>0.11</v>
      </c>
      <c r="Z315" s="287"/>
      <c r="AA315" s="287"/>
      <c r="AB315" s="287"/>
      <c r="AC315" s="287"/>
      <c r="AD315" s="287"/>
      <c r="AE315" s="287"/>
      <c r="AF315" s="287">
        <v>0.2</v>
      </c>
      <c r="AG315" s="287"/>
      <c r="AH315" s="287"/>
      <c r="AI315" s="287"/>
      <c r="AJ315" s="287"/>
      <c r="AK315" s="287"/>
      <c r="AL315" s="287"/>
      <c r="AM315" s="287"/>
      <c r="AN315" s="287"/>
      <c r="AO315" s="287"/>
      <c r="AP315" s="287"/>
      <c r="AQ315" s="287"/>
      <c r="AR315" s="287"/>
      <c r="AS315" s="287"/>
      <c r="AT315" s="287"/>
      <c r="AU315" s="287"/>
      <c r="AV315" s="287"/>
      <c r="AW315" s="287"/>
      <c r="AX315" s="287"/>
      <c r="AY315" s="287"/>
      <c r="AZ315" s="287"/>
      <c r="BA315" s="287"/>
      <c r="BB315" s="287"/>
      <c r="BC315" s="287"/>
      <c r="BD315" s="287"/>
      <c r="BE315" s="287"/>
      <c r="BF315" s="287"/>
      <c r="BG315" s="287"/>
      <c r="BH315" s="316" t="s">
        <v>705</v>
      </c>
      <c r="BI315" s="321" t="s">
        <v>87</v>
      </c>
      <c r="BJ315" s="319" t="s">
        <v>706</v>
      </c>
      <c r="BK315" s="322" t="s">
        <v>120</v>
      </c>
      <c r="BL315" s="316" t="s">
        <v>202</v>
      </c>
      <c r="BM315" s="321" t="s">
        <v>1026</v>
      </c>
    </row>
    <row r="316" spans="1:65" s="334" customFormat="1" ht="31.5" x14ac:dyDescent="0.25">
      <c r="A316" s="416"/>
      <c r="B316" s="417"/>
      <c r="C316" s="315" t="s">
        <v>138</v>
      </c>
      <c r="D316" s="320" t="s">
        <v>47</v>
      </c>
      <c r="E316" s="265">
        <f t="shared" si="92"/>
        <v>0.55000000000000004</v>
      </c>
      <c r="F316" s="265"/>
      <c r="G316" s="267">
        <f t="shared" si="95"/>
        <v>0.55000000000000004</v>
      </c>
      <c r="H316" s="317"/>
      <c r="I316" s="317"/>
      <c r="J316" s="317"/>
      <c r="K316" s="317"/>
      <c r="L316" s="317"/>
      <c r="M316" s="317"/>
      <c r="N316" s="317"/>
      <c r="O316" s="317"/>
      <c r="P316" s="317"/>
      <c r="Q316" s="317"/>
      <c r="R316" s="317"/>
      <c r="S316" s="317"/>
      <c r="T316" s="317"/>
      <c r="U316" s="317">
        <f t="shared" si="96"/>
        <v>0.55000000000000004</v>
      </c>
      <c r="V316" s="335">
        <v>0.55000000000000004</v>
      </c>
      <c r="W316" s="317"/>
      <c r="X316" s="317"/>
      <c r="Y316" s="317"/>
      <c r="Z316" s="317"/>
      <c r="AA316" s="317"/>
      <c r="AB316" s="317"/>
      <c r="AC316" s="317"/>
      <c r="AD316" s="317"/>
      <c r="AE316" s="317"/>
      <c r="AF316" s="317"/>
      <c r="AG316" s="317"/>
      <c r="AH316" s="317"/>
      <c r="AI316" s="317"/>
      <c r="AJ316" s="317"/>
      <c r="AK316" s="317"/>
      <c r="AL316" s="317"/>
      <c r="AM316" s="317"/>
      <c r="AN316" s="317"/>
      <c r="AO316" s="317"/>
      <c r="AP316" s="317"/>
      <c r="AQ316" s="317"/>
      <c r="AR316" s="317"/>
      <c r="AS316" s="317"/>
      <c r="AT316" s="317"/>
      <c r="AU316" s="317"/>
      <c r="AV316" s="317"/>
      <c r="AW316" s="317"/>
      <c r="AX316" s="317"/>
      <c r="AY316" s="317"/>
      <c r="AZ316" s="317"/>
      <c r="BA316" s="317"/>
      <c r="BB316" s="317"/>
      <c r="BC316" s="317"/>
      <c r="BD316" s="317"/>
      <c r="BE316" s="317"/>
      <c r="BF316" s="317"/>
      <c r="BG316" s="317"/>
      <c r="BH316" s="315" t="s">
        <v>258</v>
      </c>
      <c r="BI316" s="315" t="s">
        <v>138</v>
      </c>
      <c r="BJ316" s="321" t="s">
        <v>707</v>
      </c>
      <c r="BK316" s="322" t="s">
        <v>120</v>
      </c>
      <c r="BL316" s="316" t="s">
        <v>202</v>
      </c>
      <c r="BM316" s="321" t="s">
        <v>1026</v>
      </c>
    </row>
    <row r="317" spans="1:65" s="334" customFormat="1" ht="31.5" x14ac:dyDescent="0.25">
      <c r="A317" s="416"/>
      <c r="B317" s="417"/>
      <c r="C317" s="315" t="s">
        <v>142</v>
      </c>
      <c r="D317" s="337" t="s">
        <v>47</v>
      </c>
      <c r="E317" s="338">
        <f t="shared" si="92"/>
        <v>2.84</v>
      </c>
      <c r="F317" s="338"/>
      <c r="G317" s="339">
        <f t="shared" si="95"/>
        <v>2.84</v>
      </c>
      <c r="H317" s="340">
        <v>0.43</v>
      </c>
      <c r="I317" s="340">
        <v>0</v>
      </c>
      <c r="J317" s="340">
        <v>0</v>
      </c>
      <c r="K317" s="340">
        <v>0</v>
      </c>
      <c r="L317" s="340">
        <v>0</v>
      </c>
      <c r="M317" s="340">
        <v>0</v>
      </c>
      <c r="N317" s="340">
        <v>0</v>
      </c>
      <c r="O317" s="340">
        <v>0</v>
      </c>
      <c r="P317" s="340">
        <v>0</v>
      </c>
      <c r="Q317" s="340">
        <v>0</v>
      </c>
      <c r="R317" s="340">
        <v>0</v>
      </c>
      <c r="S317" s="340">
        <v>0</v>
      </c>
      <c r="T317" s="340">
        <v>0</v>
      </c>
      <c r="U317" s="340">
        <v>1.33</v>
      </c>
      <c r="V317" s="340">
        <v>1.33</v>
      </c>
      <c r="W317" s="340">
        <v>0</v>
      </c>
      <c r="X317" s="340">
        <v>0</v>
      </c>
      <c r="Y317" s="340">
        <v>0</v>
      </c>
      <c r="Z317" s="340">
        <v>0</v>
      </c>
      <c r="AA317" s="340">
        <v>0</v>
      </c>
      <c r="AB317" s="340">
        <v>0</v>
      </c>
      <c r="AC317" s="340">
        <v>0</v>
      </c>
      <c r="AD317" s="340">
        <v>0</v>
      </c>
      <c r="AE317" s="340">
        <v>0</v>
      </c>
      <c r="AF317" s="340">
        <v>0.01</v>
      </c>
      <c r="AG317" s="340">
        <v>0</v>
      </c>
      <c r="AH317" s="340">
        <v>0</v>
      </c>
      <c r="AI317" s="340">
        <v>0</v>
      </c>
      <c r="AJ317" s="340">
        <v>0</v>
      </c>
      <c r="AK317" s="340">
        <v>0</v>
      </c>
      <c r="AL317" s="340">
        <v>0</v>
      </c>
      <c r="AM317" s="340">
        <v>0</v>
      </c>
      <c r="AN317" s="340">
        <v>0</v>
      </c>
      <c r="AO317" s="340">
        <v>0</v>
      </c>
      <c r="AP317" s="340">
        <v>0</v>
      </c>
      <c r="AQ317" s="340">
        <v>0</v>
      </c>
      <c r="AR317" s="340">
        <v>0</v>
      </c>
      <c r="AS317" s="340">
        <v>0</v>
      </c>
      <c r="AT317" s="340">
        <v>0</v>
      </c>
      <c r="AU317" s="340">
        <v>0</v>
      </c>
      <c r="AV317" s="340">
        <v>0</v>
      </c>
      <c r="AW317" s="340">
        <v>0</v>
      </c>
      <c r="AX317" s="340">
        <v>0</v>
      </c>
      <c r="AY317" s="340">
        <v>0</v>
      </c>
      <c r="AZ317" s="340">
        <v>0</v>
      </c>
      <c r="BA317" s="340">
        <v>0</v>
      </c>
      <c r="BB317" s="340">
        <v>0</v>
      </c>
      <c r="BC317" s="340">
        <v>0</v>
      </c>
      <c r="BD317" s="340">
        <v>0</v>
      </c>
      <c r="BE317" s="340">
        <v>0</v>
      </c>
      <c r="BF317" s="340">
        <v>0</v>
      </c>
      <c r="BG317" s="340">
        <v>1.07</v>
      </c>
      <c r="BH317" s="347" t="s">
        <v>708</v>
      </c>
      <c r="BI317" s="347" t="s">
        <v>142</v>
      </c>
      <c r="BJ317" s="342" t="s">
        <v>709</v>
      </c>
      <c r="BK317" s="344" t="s">
        <v>120</v>
      </c>
      <c r="BL317" s="345" t="s">
        <v>202</v>
      </c>
      <c r="BM317" s="342" t="s">
        <v>1026</v>
      </c>
    </row>
    <row r="318" spans="1:65" s="334" customFormat="1" ht="31.5" x14ac:dyDescent="0.25">
      <c r="A318" s="416"/>
      <c r="B318" s="417"/>
      <c r="C318" s="336" t="s">
        <v>91</v>
      </c>
      <c r="D318" s="337" t="s">
        <v>47</v>
      </c>
      <c r="E318" s="338">
        <f t="shared" si="92"/>
        <v>0.65</v>
      </c>
      <c r="F318" s="338"/>
      <c r="G318" s="339">
        <f t="shared" si="95"/>
        <v>0.65</v>
      </c>
      <c r="H318" s="340"/>
      <c r="I318" s="340"/>
      <c r="J318" s="340"/>
      <c r="K318" s="340">
        <v>0.02</v>
      </c>
      <c r="L318" s="340"/>
      <c r="M318" s="340"/>
      <c r="N318" s="340"/>
      <c r="O318" s="340"/>
      <c r="P318" s="340"/>
      <c r="Q318" s="340"/>
      <c r="R318" s="340"/>
      <c r="S318" s="340"/>
      <c r="T318" s="340"/>
      <c r="U318" s="340">
        <f t="shared" si="96"/>
        <v>0</v>
      </c>
      <c r="V318" s="346"/>
      <c r="W318" s="340"/>
      <c r="X318" s="340"/>
      <c r="Y318" s="340"/>
      <c r="Z318" s="340"/>
      <c r="AA318" s="340"/>
      <c r="AB318" s="340"/>
      <c r="AC318" s="340"/>
      <c r="AD318" s="340"/>
      <c r="AE318" s="340"/>
      <c r="AF318" s="340"/>
      <c r="AG318" s="340">
        <v>0.02</v>
      </c>
      <c r="AH318" s="340"/>
      <c r="AI318" s="340"/>
      <c r="AJ318" s="340"/>
      <c r="AK318" s="340"/>
      <c r="AL318" s="340"/>
      <c r="AM318" s="340"/>
      <c r="AN318" s="340"/>
      <c r="AO318" s="340"/>
      <c r="AP318" s="340"/>
      <c r="AQ318" s="340"/>
      <c r="AR318" s="340"/>
      <c r="AS318" s="340"/>
      <c r="AT318" s="340"/>
      <c r="AU318" s="340"/>
      <c r="AV318" s="340"/>
      <c r="AW318" s="340"/>
      <c r="AX318" s="340"/>
      <c r="AY318" s="340"/>
      <c r="AZ318" s="340"/>
      <c r="BA318" s="340"/>
      <c r="BB318" s="340"/>
      <c r="BC318" s="340"/>
      <c r="BD318" s="340"/>
      <c r="BE318" s="340"/>
      <c r="BF318" s="340"/>
      <c r="BG318" s="340">
        <v>0.61</v>
      </c>
      <c r="BH318" s="347" t="s">
        <v>710</v>
      </c>
      <c r="BI318" s="349" t="s">
        <v>91</v>
      </c>
      <c r="BJ318" s="347" t="s">
        <v>711</v>
      </c>
      <c r="BK318" s="344" t="s">
        <v>120</v>
      </c>
      <c r="BL318" s="345" t="s">
        <v>202</v>
      </c>
      <c r="BM318" s="342" t="s">
        <v>1026</v>
      </c>
    </row>
    <row r="319" spans="1:65" s="334" customFormat="1" ht="31.5" x14ac:dyDescent="0.25">
      <c r="A319" s="416"/>
      <c r="B319" s="417"/>
      <c r="C319" s="321" t="s">
        <v>154</v>
      </c>
      <c r="D319" s="320" t="s">
        <v>47</v>
      </c>
      <c r="E319" s="265">
        <f t="shared" si="92"/>
        <v>1.31</v>
      </c>
      <c r="F319" s="265"/>
      <c r="G319" s="267">
        <f t="shared" si="95"/>
        <v>1.31</v>
      </c>
      <c r="H319" s="311">
        <v>0</v>
      </c>
      <c r="I319" s="311">
        <v>0</v>
      </c>
      <c r="J319" s="311">
        <v>0</v>
      </c>
      <c r="K319" s="311">
        <v>0</v>
      </c>
      <c r="L319" s="311">
        <v>0</v>
      </c>
      <c r="M319" s="311">
        <v>0</v>
      </c>
      <c r="N319" s="311">
        <v>0</v>
      </c>
      <c r="O319" s="311">
        <v>0</v>
      </c>
      <c r="P319" s="311">
        <v>0</v>
      </c>
      <c r="Q319" s="311">
        <v>0</v>
      </c>
      <c r="R319" s="311">
        <v>0</v>
      </c>
      <c r="S319" s="311">
        <v>0</v>
      </c>
      <c r="T319" s="311">
        <v>0</v>
      </c>
      <c r="U319" s="317">
        <f t="shared" si="96"/>
        <v>0</v>
      </c>
      <c r="V319" s="335"/>
      <c r="W319" s="311"/>
      <c r="X319" s="311">
        <v>0</v>
      </c>
      <c r="Y319" s="311">
        <v>0</v>
      </c>
      <c r="Z319" s="311">
        <v>0</v>
      </c>
      <c r="AA319" s="311">
        <v>0</v>
      </c>
      <c r="AB319" s="311">
        <v>0</v>
      </c>
      <c r="AC319" s="311">
        <v>0</v>
      </c>
      <c r="AD319" s="311">
        <v>0</v>
      </c>
      <c r="AE319" s="311">
        <v>0</v>
      </c>
      <c r="AF319" s="311">
        <v>0</v>
      </c>
      <c r="AG319" s="311">
        <v>0</v>
      </c>
      <c r="AH319" s="311">
        <v>0</v>
      </c>
      <c r="AI319" s="311">
        <v>0</v>
      </c>
      <c r="AJ319" s="311">
        <v>0</v>
      </c>
      <c r="AK319" s="311">
        <v>0</v>
      </c>
      <c r="AL319" s="311">
        <v>0</v>
      </c>
      <c r="AM319" s="311">
        <v>0</v>
      </c>
      <c r="AN319" s="311">
        <v>0</v>
      </c>
      <c r="AO319" s="311">
        <v>0</v>
      </c>
      <c r="AP319" s="311">
        <v>0</v>
      </c>
      <c r="AQ319" s="311">
        <v>0</v>
      </c>
      <c r="AR319" s="311">
        <v>0</v>
      </c>
      <c r="AS319" s="311">
        <v>0</v>
      </c>
      <c r="AT319" s="311">
        <v>0</v>
      </c>
      <c r="AU319" s="311">
        <v>0</v>
      </c>
      <c r="AV319" s="311">
        <v>0</v>
      </c>
      <c r="AW319" s="311">
        <v>0</v>
      </c>
      <c r="AX319" s="311">
        <v>0</v>
      </c>
      <c r="AY319" s="311">
        <v>0</v>
      </c>
      <c r="AZ319" s="311">
        <v>0</v>
      </c>
      <c r="BA319" s="311">
        <v>0</v>
      </c>
      <c r="BB319" s="311">
        <v>0</v>
      </c>
      <c r="BC319" s="311">
        <v>0</v>
      </c>
      <c r="BD319" s="311">
        <v>0</v>
      </c>
      <c r="BE319" s="311">
        <v>0</v>
      </c>
      <c r="BF319" s="311">
        <v>0</v>
      </c>
      <c r="BG319" s="311">
        <v>1.31</v>
      </c>
      <c r="BH319" s="315" t="s">
        <v>712</v>
      </c>
      <c r="BI319" s="321" t="s">
        <v>154</v>
      </c>
      <c r="BJ319" s="321" t="s">
        <v>713</v>
      </c>
      <c r="BK319" s="322" t="s">
        <v>120</v>
      </c>
      <c r="BL319" s="321" t="s">
        <v>202</v>
      </c>
      <c r="BM319" s="321" t="s">
        <v>1026</v>
      </c>
    </row>
    <row r="320" spans="1:65" s="334" customFormat="1" ht="31.5" x14ac:dyDescent="0.25">
      <c r="A320" s="416"/>
      <c r="B320" s="417"/>
      <c r="C320" s="315" t="s">
        <v>158</v>
      </c>
      <c r="D320" s="320" t="s">
        <v>47</v>
      </c>
      <c r="E320" s="265">
        <f t="shared" si="92"/>
        <v>1.4000000000000001</v>
      </c>
      <c r="F320" s="265"/>
      <c r="G320" s="267">
        <f t="shared" si="95"/>
        <v>1.4000000000000001</v>
      </c>
      <c r="H320" s="317">
        <f>0.07+0.04</f>
        <v>0.11000000000000001</v>
      </c>
      <c r="I320" s="317">
        <v>0</v>
      </c>
      <c r="J320" s="317">
        <v>0</v>
      </c>
      <c r="K320" s="317"/>
      <c r="L320" s="317"/>
      <c r="M320" s="317"/>
      <c r="N320" s="317"/>
      <c r="O320" s="317"/>
      <c r="P320" s="317"/>
      <c r="Q320" s="317"/>
      <c r="R320" s="317"/>
      <c r="S320" s="317"/>
      <c r="T320" s="317"/>
      <c r="U320" s="317">
        <f>SUM(V320:X320)</f>
        <v>1.29</v>
      </c>
      <c r="V320" s="335"/>
      <c r="W320" s="317">
        <v>1.29</v>
      </c>
      <c r="X320" s="317"/>
      <c r="Y320" s="317"/>
      <c r="Z320" s="317">
        <v>0</v>
      </c>
      <c r="AA320" s="317">
        <v>0</v>
      </c>
      <c r="AB320" s="317">
        <v>0</v>
      </c>
      <c r="AC320" s="317">
        <v>0</v>
      </c>
      <c r="AD320" s="317">
        <v>0</v>
      </c>
      <c r="AE320" s="317">
        <v>0</v>
      </c>
      <c r="AF320" s="317">
        <v>0</v>
      </c>
      <c r="AG320" s="317">
        <v>0</v>
      </c>
      <c r="AH320" s="317">
        <v>0</v>
      </c>
      <c r="AI320" s="317">
        <v>0</v>
      </c>
      <c r="AJ320" s="317">
        <v>0</v>
      </c>
      <c r="AK320" s="317">
        <v>0</v>
      </c>
      <c r="AL320" s="317">
        <v>0</v>
      </c>
      <c r="AM320" s="317">
        <v>0</v>
      </c>
      <c r="AN320" s="317">
        <v>0</v>
      </c>
      <c r="AO320" s="317">
        <v>0</v>
      </c>
      <c r="AP320" s="317">
        <v>0</v>
      </c>
      <c r="AQ320" s="317">
        <v>0</v>
      </c>
      <c r="AR320" s="317">
        <v>0</v>
      </c>
      <c r="AS320" s="317">
        <v>0</v>
      </c>
      <c r="AT320" s="317">
        <v>0</v>
      </c>
      <c r="AU320" s="317">
        <v>0</v>
      </c>
      <c r="AV320" s="317">
        <v>0</v>
      </c>
      <c r="AW320" s="317">
        <v>0</v>
      </c>
      <c r="AX320" s="317">
        <v>0</v>
      </c>
      <c r="AY320" s="317">
        <v>0</v>
      </c>
      <c r="AZ320" s="317">
        <v>0</v>
      </c>
      <c r="BA320" s="317">
        <v>0</v>
      </c>
      <c r="BB320" s="317">
        <v>0</v>
      </c>
      <c r="BC320" s="317">
        <v>0</v>
      </c>
      <c r="BD320" s="317">
        <v>0</v>
      </c>
      <c r="BE320" s="317">
        <v>0</v>
      </c>
      <c r="BF320" s="317">
        <v>0</v>
      </c>
      <c r="BG320" s="317"/>
      <c r="BH320" s="315" t="s">
        <v>418</v>
      </c>
      <c r="BI320" s="315" t="s">
        <v>158</v>
      </c>
      <c r="BJ320" s="321" t="s">
        <v>714</v>
      </c>
      <c r="BK320" s="322" t="s">
        <v>120</v>
      </c>
      <c r="BL320" s="316" t="s">
        <v>202</v>
      </c>
      <c r="BM320" s="321" t="s">
        <v>1026</v>
      </c>
    </row>
    <row r="321" spans="1:65" s="334" customFormat="1" ht="31.5" x14ac:dyDescent="0.25">
      <c r="A321" s="416"/>
      <c r="B321" s="417"/>
      <c r="C321" s="315" t="s">
        <v>99</v>
      </c>
      <c r="D321" s="337" t="s">
        <v>47</v>
      </c>
      <c r="E321" s="338">
        <f t="shared" si="92"/>
        <v>2</v>
      </c>
      <c r="F321" s="338"/>
      <c r="G321" s="339">
        <f t="shared" si="95"/>
        <v>2</v>
      </c>
      <c r="H321" s="348"/>
      <c r="I321" s="348">
        <v>0.06</v>
      </c>
      <c r="J321" s="348"/>
      <c r="K321" s="348">
        <v>0.18</v>
      </c>
      <c r="L321" s="348"/>
      <c r="M321" s="348"/>
      <c r="N321" s="348"/>
      <c r="O321" s="348"/>
      <c r="P321" s="348"/>
      <c r="Q321" s="348"/>
      <c r="R321" s="348"/>
      <c r="S321" s="348"/>
      <c r="T321" s="348"/>
      <c r="U321" s="340">
        <f>SUM(V321:X321)</f>
        <v>1.76</v>
      </c>
      <c r="V321" s="346">
        <f>0.76+1</f>
        <v>1.76</v>
      </c>
      <c r="W321" s="348"/>
      <c r="X321" s="348"/>
      <c r="Y321" s="348"/>
      <c r="Z321" s="348"/>
      <c r="AA321" s="348"/>
      <c r="AB321" s="348"/>
      <c r="AC321" s="348"/>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348"/>
      <c r="AY321" s="348"/>
      <c r="AZ321" s="348"/>
      <c r="BA321" s="348"/>
      <c r="BB321" s="348"/>
      <c r="BC321" s="348"/>
      <c r="BD321" s="348"/>
      <c r="BE321" s="348"/>
      <c r="BF321" s="348"/>
      <c r="BG321" s="348"/>
      <c r="BH321" s="347" t="s">
        <v>411</v>
      </c>
      <c r="BI321" s="347" t="s">
        <v>99</v>
      </c>
      <c r="BJ321" s="342" t="s">
        <v>715</v>
      </c>
      <c r="BK321" s="344" t="s">
        <v>120</v>
      </c>
      <c r="BL321" s="345" t="s">
        <v>202</v>
      </c>
      <c r="BM321" s="342" t="s">
        <v>1026</v>
      </c>
    </row>
    <row r="322" spans="1:65" s="334" customFormat="1" ht="31.5" x14ac:dyDescent="0.25">
      <c r="A322" s="416"/>
      <c r="B322" s="417"/>
      <c r="C322" s="321" t="s">
        <v>106</v>
      </c>
      <c r="D322" s="320" t="s">
        <v>47</v>
      </c>
      <c r="E322" s="265">
        <f t="shared" si="92"/>
        <v>1</v>
      </c>
      <c r="F322" s="265"/>
      <c r="G322" s="267">
        <f t="shared" si="95"/>
        <v>1</v>
      </c>
      <c r="H322" s="287"/>
      <c r="I322" s="287">
        <v>0.13</v>
      </c>
      <c r="J322" s="287"/>
      <c r="K322" s="287"/>
      <c r="L322" s="287"/>
      <c r="M322" s="287"/>
      <c r="N322" s="287"/>
      <c r="O322" s="287"/>
      <c r="P322" s="287"/>
      <c r="Q322" s="287"/>
      <c r="R322" s="287">
        <v>0</v>
      </c>
      <c r="S322" s="287">
        <v>0</v>
      </c>
      <c r="T322" s="287">
        <v>0</v>
      </c>
      <c r="U322" s="317">
        <f>SUM(V322:X322)</f>
        <v>0.87</v>
      </c>
      <c r="V322" s="287">
        <v>0.87</v>
      </c>
      <c r="W322" s="287"/>
      <c r="X322" s="287"/>
      <c r="Y322" s="287"/>
      <c r="Z322" s="287"/>
      <c r="AA322" s="287"/>
      <c r="AB322" s="287"/>
      <c r="AC322" s="287"/>
      <c r="AD322" s="287"/>
      <c r="AE322" s="287"/>
      <c r="AF322" s="287"/>
      <c r="AG322" s="287"/>
      <c r="AH322" s="287"/>
      <c r="AI322" s="287"/>
      <c r="AJ322" s="287"/>
      <c r="AK322" s="287"/>
      <c r="AL322" s="287"/>
      <c r="AM322" s="287"/>
      <c r="AN322" s="287"/>
      <c r="AO322" s="287"/>
      <c r="AP322" s="287"/>
      <c r="AQ322" s="287"/>
      <c r="AR322" s="287"/>
      <c r="AS322" s="287"/>
      <c r="AT322" s="287"/>
      <c r="AU322" s="287"/>
      <c r="AV322" s="287"/>
      <c r="AW322" s="287"/>
      <c r="AX322" s="287"/>
      <c r="AY322" s="287"/>
      <c r="AZ322" s="287"/>
      <c r="BA322" s="287"/>
      <c r="BB322" s="287"/>
      <c r="BC322" s="287"/>
      <c r="BD322" s="287"/>
      <c r="BE322" s="287"/>
      <c r="BF322" s="287"/>
      <c r="BG322" s="287"/>
      <c r="BH322" s="287" t="s">
        <v>532</v>
      </c>
      <c r="BI322" s="321" t="s">
        <v>106</v>
      </c>
      <c r="BJ322" s="321" t="s">
        <v>716</v>
      </c>
      <c r="BK322" s="322" t="s">
        <v>120</v>
      </c>
      <c r="BL322" s="316" t="s">
        <v>202</v>
      </c>
      <c r="BM322" s="321" t="s">
        <v>1026</v>
      </c>
    </row>
    <row r="323" spans="1:65" s="334" customFormat="1" ht="31.5" x14ac:dyDescent="0.25">
      <c r="A323" s="416"/>
      <c r="B323" s="417"/>
      <c r="C323" s="321" t="s">
        <v>95</v>
      </c>
      <c r="D323" s="320" t="s">
        <v>47</v>
      </c>
      <c r="E323" s="265">
        <f t="shared" si="92"/>
        <v>2</v>
      </c>
      <c r="F323" s="265"/>
      <c r="G323" s="267">
        <f t="shared" si="95"/>
        <v>2</v>
      </c>
      <c r="H323" s="287"/>
      <c r="I323" s="287"/>
      <c r="J323" s="287"/>
      <c r="K323" s="287"/>
      <c r="L323" s="287"/>
      <c r="M323" s="287"/>
      <c r="N323" s="287"/>
      <c r="O323" s="287"/>
      <c r="P323" s="287"/>
      <c r="Q323" s="287"/>
      <c r="R323" s="287"/>
      <c r="S323" s="287"/>
      <c r="T323" s="287"/>
      <c r="U323" s="317">
        <f>SUM(V323:X323)</f>
        <v>2</v>
      </c>
      <c r="V323" s="287">
        <v>0.48</v>
      </c>
      <c r="W323" s="287">
        <f>1.02+0.5</f>
        <v>1.52</v>
      </c>
      <c r="X323" s="287"/>
      <c r="Y323" s="287"/>
      <c r="Z323" s="287"/>
      <c r="AA323" s="287"/>
      <c r="AB323" s="287"/>
      <c r="AC323" s="287"/>
      <c r="AD323" s="287"/>
      <c r="AE323" s="287"/>
      <c r="AF323" s="287"/>
      <c r="AG323" s="287"/>
      <c r="AH323" s="287"/>
      <c r="AI323" s="287"/>
      <c r="AJ323" s="287"/>
      <c r="AK323" s="287"/>
      <c r="AL323" s="287"/>
      <c r="AM323" s="287"/>
      <c r="AN323" s="287"/>
      <c r="AO323" s="287"/>
      <c r="AP323" s="287"/>
      <c r="AQ323" s="287"/>
      <c r="AR323" s="287"/>
      <c r="AS323" s="287"/>
      <c r="AT323" s="287"/>
      <c r="AU323" s="287"/>
      <c r="AV323" s="287"/>
      <c r="AW323" s="287"/>
      <c r="AX323" s="287"/>
      <c r="AY323" s="287"/>
      <c r="AZ323" s="287"/>
      <c r="BA323" s="287"/>
      <c r="BB323" s="287"/>
      <c r="BC323" s="287"/>
      <c r="BD323" s="287"/>
      <c r="BE323" s="287"/>
      <c r="BF323" s="287"/>
      <c r="BG323" s="287"/>
      <c r="BH323" s="287" t="s">
        <v>717</v>
      </c>
      <c r="BI323" s="321" t="s">
        <v>95</v>
      </c>
      <c r="BJ323" s="321" t="s">
        <v>718</v>
      </c>
      <c r="BK323" s="322" t="s">
        <v>375</v>
      </c>
      <c r="BL323" s="316" t="s">
        <v>202</v>
      </c>
      <c r="BM323" s="321" t="s">
        <v>1026</v>
      </c>
    </row>
    <row r="324" spans="1:65" s="334" customFormat="1" ht="31.5" x14ac:dyDescent="0.25">
      <c r="A324" s="416"/>
      <c r="B324" s="417"/>
      <c r="C324" s="315" t="s">
        <v>166</v>
      </c>
      <c r="D324" s="337" t="s">
        <v>47</v>
      </c>
      <c r="E324" s="338">
        <f t="shared" si="92"/>
        <v>1.2000000000000002</v>
      </c>
      <c r="F324" s="338"/>
      <c r="G324" s="339">
        <f t="shared" si="95"/>
        <v>1.2000000000000002</v>
      </c>
      <c r="H324" s="348"/>
      <c r="I324" s="348">
        <v>0.04</v>
      </c>
      <c r="J324" s="348"/>
      <c r="K324" s="348">
        <v>0.06</v>
      </c>
      <c r="L324" s="348"/>
      <c r="M324" s="348"/>
      <c r="N324" s="348"/>
      <c r="O324" s="348"/>
      <c r="P324" s="348"/>
      <c r="Q324" s="348"/>
      <c r="R324" s="348"/>
      <c r="S324" s="348"/>
      <c r="T324" s="348"/>
      <c r="U324" s="340">
        <f>SUM(V324:X324)</f>
        <v>1</v>
      </c>
      <c r="V324" s="346">
        <v>0.24</v>
      </c>
      <c r="W324" s="348">
        <v>0.76</v>
      </c>
      <c r="X324" s="348"/>
      <c r="Y324" s="348"/>
      <c r="Z324" s="348"/>
      <c r="AA324" s="348"/>
      <c r="AB324" s="348"/>
      <c r="AC324" s="348"/>
      <c r="AD324" s="348"/>
      <c r="AE324" s="348"/>
      <c r="AF324" s="348"/>
      <c r="AG324" s="348"/>
      <c r="AH324" s="348"/>
      <c r="AI324" s="348"/>
      <c r="AJ324" s="34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v>0.1</v>
      </c>
      <c r="BH324" s="347" t="s">
        <v>167</v>
      </c>
      <c r="BI324" s="347" t="s">
        <v>166</v>
      </c>
      <c r="BJ324" s="347" t="s">
        <v>1091</v>
      </c>
      <c r="BK324" s="344" t="s">
        <v>120</v>
      </c>
      <c r="BL324" s="345" t="s">
        <v>202</v>
      </c>
      <c r="BM324" s="342" t="s">
        <v>1026</v>
      </c>
    </row>
    <row r="325" spans="1:65" s="252" customFormat="1" ht="31.5" x14ac:dyDescent="0.25">
      <c r="A325" s="56" t="s">
        <v>719</v>
      </c>
      <c r="B325" s="43" t="s">
        <v>720</v>
      </c>
      <c r="C325" s="226"/>
      <c r="D325" s="44"/>
      <c r="E325" s="69">
        <f>SUM(F325:G325)</f>
        <v>12.67</v>
      </c>
      <c r="F325" s="46">
        <f>SUM(F326:F337)</f>
        <v>0.53</v>
      </c>
      <c r="G325" s="46">
        <f>SUM(G326:G337)</f>
        <v>12.14</v>
      </c>
      <c r="H325" s="46">
        <f>SUM(H326:H337)</f>
        <v>0</v>
      </c>
      <c r="I325" s="46">
        <f t="shared" ref="I325:BG325" si="98">SUM(I326:I337)</f>
        <v>0</v>
      </c>
      <c r="J325" s="46">
        <f t="shared" si="98"/>
        <v>0</v>
      </c>
      <c r="K325" s="46">
        <f>SUM(K326:K337)</f>
        <v>0.11</v>
      </c>
      <c r="L325" s="46">
        <f t="shared" si="98"/>
        <v>0</v>
      </c>
      <c r="M325" s="46">
        <f t="shared" si="98"/>
        <v>0</v>
      </c>
      <c r="N325" s="46">
        <f t="shared" si="98"/>
        <v>0</v>
      </c>
      <c r="O325" s="46">
        <f t="shared" si="98"/>
        <v>0</v>
      </c>
      <c r="P325" s="46">
        <f t="shared" si="98"/>
        <v>0</v>
      </c>
      <c r="Q325" s="46">
        <f t="shared" si="98"/>
        <v>0</v>
      </c>
      <c r="R325" s="46">
        <f t="shared" si="98"/>
        <v>0</v>
      </c>
      <c r="S325" s="46">
        <f t="shared" si="98"/>
        <v>0</v>
      </c>
      <c r="T325" s="46">
        <f t="shared" si="98"/>
        <v>0</v>
      </c>
      <c r="U325" s="47">
        <f t="shared" si="98"/>
        <v>12.030000000000001</v>
      </c>
      <c r="V325" s="46">
        <f t="shared" si="98"/>
        <v>8.9</v>
      </c>
      <c r="W325" s="46">
        <f t="shared" si="98"/>
        <v>3.1300000000000003</v>
      </c>
      <c r="X325" s="46">
        <f t="shared" si="98"/>
        <v>0</v>
      </c>
      <c r="Y325" s="46">
        <f t="shared" si="98"/>
        <v>0</v>
      </c>
      <c r="Z325" s="46">
        <f t="shared" si="98"/>
        <v>0</v>
      </c>
      <c r="AA325" s="46">
        <f t="shared" si="98"/>
        <v>0</v>
      </c>
      <c r="AB325" s="46">
        <f t="shared" si="98"/>
        <v>0</v>
      </c>
      <c r="AC325" s="46">
        <f t="shared" si="98"/>
        <v>0</v>
      </c>
      <c r="AD325" s="46">
        <f t="shared" si="98"/>
        <v>0</v>
      </c>
      <c r="AE325" s="46">
        <f t="shared" si="98"/>
        <v>0</v>
      </c>
      <c r="AF325" s="46">
        <f t="shared" si="98"/>
        <v>0</v>
      </c>
      <c r="AG325" s="46">
        <f t="shared" si="98"/>
        <v>0</v>
      </c>
      <c r="AH325" s="46">
        <f t="shared" si="98"/>
        <v>0</v>
      </c>
      <c r="AI325" s="46">
        <f t="shared" si="98"/>
        <v>0</v>
      </c>
      <c r="AJ325" s="46">
        <f t="shared" si="98"/>
        <v>0</v>
      </c>
      <c r="AK325" s="46">
        <f t="shared" si="98"/>
        <v>0</v>
      </c>
      <c r="AL325" s="46">
        <f t="shared" si="98"/>
        <v>0</v>
      </c>
      <c r="AM325" s="46">
        <f t="shared" si="98"/>
        <v>0</v>
      </c>
      <c r="AN325" s="46">
        <f t="shared" si="98"/>
        <v>0</v>
      </c>
      <c r="AO325" s="46">
        <f t="shared" si="98"/>
        <v>0</v>
      </c>
      <c r="AP325" s="46">
        <f t="shared" si="98"/>
        <v>0</v>
      </c>
      <c r="AQ325" s="46">
        <f t="shared" si="98"/>
        <v>0</v>
      </c>
      <c r="AR325" s="46">
        <f t="shared" si="98"/>
        <v>0</v>
      </c>
      <c r="AS325" s="46">
        <f t="shared" si="98"/>
        <v>0</v>
      </c>
      <c r="AT325" s="46">
        <f t="shared" si="98"/>
        <v>0</v>
      </c>
      <c r="AU325" s="46">
        <f t="shared" si="98"/>
        <v>0</v>
      </c>
      <c r="AV325" s="46">
        <f t="shared" si="98"/>
        <v>0</v>
      </c>
      <c r="AW325" s="46">
        <f t="shared" si="98"/>
        <v>0</v>
      </c>
      <c r="AX325" s="46">
        <f t="shared" si="98"/>
        <v>0</v>
      </c>
      <c r="AY325" s="46">
        <f t="shared" si="98"/>
        <v>0</v>
      </c>
      <c r="AZ325" s="46">
        <f t="shared" si="98"/>
        <v>0</v>
      </c>
      <c r="BA325" s="46">
        <f t="shared" si="98"/>
        <v>0</v>
      </c>
      <c r="BB325" s="46">
        <f t="shared" si="98"/>
        <v>0</v>
      </c>
      <c r="BC325" s="46">
        <f t="shared" si="98"/>
        <v>0</v>
      </c>
      <c r="BD325" s="46">
        <f t="shared" si="98"/>
        <v>0</v>
      </c>
      <c r="BE325" s="46">
        <f t="shared" si="98"/>
        <v>0</v>
      </c>
      <c r="BF325" s="46">
        <f t="shared" si="98"/>
        <v>0</v>
      </c>
      <c r="BG325" s="46">
        <f t="shared" si="98"/>
        <v>0</v>
      </c>
      <c r="BH325" s="248"/>
      <c r="BI325" s="226"/>
      <c r="BJ325" s="226"/>
      <c r="BK325" s="241"/>
      <c r="BL325" s="218"/>
      <c r="BM325" s="226"/>
    </row>
    <row r="326" spans="1:65" s="252" customFormat="1" ht="31.5" x14ac:dyDescent="0.25">
      <c r="A326" s="249">
        <f>A310+1</f>
        <v>209</v>
      </c>
      <c r="B326" s="202" t="s">
        <v>721</v>
      </c>
      <c r="C326" s="243" t="s">
        <v>1092</v>
      </c>
      <c r="D326" s="218" t="s">
        <v>52</v>
      </c>
      <c r="E326" s="20">
        <f t="shared" ref="E326:E337" si="99">F326+G326</f>
        <v>0.59000000000000008</v>
      </c>
      <c r="F326" s="20">
        <v>0.06</v>
      </c>
      <c r="G326" s="28">
        <f t="shared" ref="G326:G337" si="100">SUM(H326:M326,Q326,U326,Y326:BG326)</f>
        <v>0.53</v>
      </c>
      <c r="H326" s="240"/>
      <c r="I326" s="240"/>
      <c r="J326" s="240"/>
      <c r="K326" s="240"/>
      <c r="L326" s="240"/>
      <c r="M326" s="240"/>
      <c r="N326" s="240"/>
      <c r="O326" s="240"/>
      <c r="P326" s="240"/>
      <c r="Q326" s="240"/>
      <c r="R326" s="240"/>
      <c r="S326" s="240"/>
      <c r="T326" s="240"/>
      <c r="U326" s="240">
        <f t="shared" ref="U326:U337" si="101">SUM(V326:X326)</f>
        <v>0.53</v>
      </c>
      <c r="V326" s="49"/>
      <c r="W326" s="240">
        <v>0.53</v>
      </c>
      <c r="X326" s="240"/>
      <c r="Y326" s="240"/>
      <c r="Z326" s="240"/>
      <c r="AA326" s="240"/>
      <c r="AB326" s="240"/>
      <c r="AC326" s="240"/>
      <c r="AD326" s="240"/>
      <c r="AE326" s="240"/>
      <c r="AF326" s="240"/>
      <c r="AG326" s="240"/>
      <c r="AH326" s="240"/>
      <c r="AI326" s="240"/>
      <c r="AJ326" s="240"/>
      <c r="AK326" s="240"/>
      <c r="AL326" s="240"/>
      <c r="AM326" s="240"/>
      <c r="AN326" s="240"/>
      <c r="AO326" s="240"/>
      <c r="AP326" s="240"/>
      <c r="AQ326" s="240"/>
      <c r="AR326" s="240"/>
      <c r="AS326" s="240"/>
      <c r="AT326" s="240"/>
      <c r="AU326" s="240"/>
      <c r="AV326" s="240"/>
      <c r="AW326" s="240"/>
      <c r="AX326" s="240"/>
      <c r="AY326" s="240"/>
      <c r="AZ326" s="240"/>
      <c r="BA326" s="240"/>
      <c r="BB326" s="240"/>
      <c r="BC326" s="240"/>
      <c r="BD326" s="240"/>
      <c r="BE326" s="240"/>
      <c r="BF326" s="240"/>
      <c r="BG326" s="240"/>
      <c r="BH326" s="235" t="s">
        <v>245</v>
      </c>
      <c r="BI326" s="243" t="s">
        <v>154</v>
      </c>
      <c r="BJ326" s="218" t="s">
        <v>722</v>
      </c>
      <c r="BK326" s="241" t="s">
        <v>120</v>
      </c>
      <c r="BL326" s="218" t="s">
        <v>544</v>
      </c>
      <c r="BM326" s="226" t="s">
        <v>1026</v>
      </c>
    </row>
    <row r="327" spans="1:65" s="252" customFormat="1" ht="47.25" x14ac:dyDescent="0.25">
      <c r="A327" s="215">
        <f>A326+1</f>
        <v>210</v>
      </c>
      <c r="B327" s="94" t="s">
        <v>723</v>
      </c>
      <c r="C327" s="219" t="s">
        <v>82</v>
      </c>
      <c r="D327" s="243" t="s">
        <v>52</v>
      </c>
      <c r="E327" s="28">
        <f t="shared" si="99"/>
        <v>6</v>
      </c>
      <c r="F327" s="28"/>
      <c r="G327" s="28">
        <f t="shared" si="100"/>
        <v>6</v>
      </c>
      <c r="H327" s="238"/>
      <c r="I327" s="240"/>
      <c r="J327" s="238"/>
      <c r="K327" s="238"/>
      <c r="L327" s="240"/>
      <c r="M327" s="238">
        <f>SUM(N327:P327)</f>
        <v>0</v>
      </c>
      <c r="N327" s="238"/>
      <c r="O327" s="238"/>
      <c r="P327" s="238"/>
      <c r="Q327" s="238">
        <f>R327+S327+T327</f>
        <v>0</v>
      </c>
      <c r="R327" s="238"/>
      <c r="S327" s="238"/>
      <c r="T327" s="238"/>
      <c r="U327" s="240">
        <f t="shared" si="101"/>
        <v>6</v>
      </c>
      <c r="V327" s="120">
        <v>4.9000000000000004</v>
      </c>
      <c r="W327" s="240">
        <v>1.1000000000000001</v>
      </c>
      <c r="X327" s="238"/>
      <c r="Y327" s="238"/>
      <c r="Z327" s="238"/>
      <c r="AA327" s="238"/>
      <c r="AB327" s="238"/>
      <c r="AC327" s="238"/>
      <c r="AD327" s="238"/>
      <c r="AE327" s="238"/>
      <c r="AF327" s="238"/>
      <c r="AG327" s="238"/>
      <c r="AH327" s="238"/>
      <c r="AI327" s="238"/>
      <c r="AJ327" s="238"/>
      <c r="AK327" s="238"/>
      <c r="AL327" s="238"/>
      <c r="AM327" s="238"/>
      <c r="AN327" s="238"/>
      <c r="AO327" s="238"/>
      <c r="AP327" s="238"/>
      <c r="AQ327" s="238"/>
      <c r="AR327" s="238"/>
      <c r="AS327" s="238"/>
      <c r="AT327" s="238"/>
      <c r="AU327" s="238"/>
      <c r="AV327" s="238"/>
      <c r="AW327" s="238"/>
      <c r="AX327" s="238"/>
      <c r="AY327" s="238"/>
      <c r="AZ327" s="238"/>
      <c r="BA327" s="238"/>
      <c r="BB327" s="238"/>
      <c r="BC327" s="238"/>
      <c r="BD327" s="238"/>
      <c r="BE327" s="238"/>
      <c r="BF327" s="238"/>
      <c r="BG327" s="238"/>
      <c r="BH327" s="55" t="s">
        <v>1011</v>
      </c>
      <c r="BI327" s="219" t="s">
        <v>82</v>
      </c>
      <c r="BJ327" s="243" t="s">
        <v>724</v>
      </c>
      <c r="BK327" s="243" t="s">
        <v>1060</v>
      </c>
      <c r="BL327" s="218" t="s">
        <v>725</v>
      </c>
      <c r="BM327" s="226" t="s">
        <v>1026</v>
      </c>
    </row>
    <row r="328" spans="1:65" s="252" customFormat="1" ht="33" customHeight="1" x14ac:dyDescent="0.25">
      <c r="A328" s="215">
        <f t="shared" ref="A328:A336" si="102">A327+1</f>
        <v>211</v>
      </c>
      <c r="B328" s="61" t="s">
        <v>726</v>
      </c>
      <c r="C328" s="223" t="s">
        <v>65</v>
      </c>
      <c r="D328" s="218" t="s">
        <v>52</v>
      </c>
      <c r="E328" s="20">
        <f t="shared" si="99"/>
        <v>2.5</v>
      </c>
      <c r="F328" s="21"/>
      <c r="G328" s="28">
        <f t="shared" si="100"/>
        <v>2.5</v>
      </c>
      <c r="H328" s="102"/>
      <c r="I328" s="102"/>
      <c r="J328" s="102"/>
      <c r="K328" s="102"/>
      <c r="L328" s="102"/>
      <c r="M328" s="102"/>
      <c r="N328" s="102"/>
      <c r="O328" s="102"/>
      <c r="P328" s="102"/>
      <c r="Q328" s="102"/>
      <c r="R328" s="102"/>
      <c r="S328" s="102"/>
      <c r="T328" s="102"/>
      <c r="U328" s="240">
        <f t="shared" si="101"/>
        <v>2.5</v>
      </c>
      <c r="V328" s="49">
        <v>2.5</v>
      </c>
      <c r="W328" s="240"/>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235" t="s">
        <v>311</v>
      </c>
      <c r="BI328" s="223" t="s">
        <v>65</v>
      </c>
      <c r="BJ328" s="218" t="s">
        <v>727</v>
      </c>
      <c r="BK328" s="239" t="s">
        <v>398</v>
      </c>
      <c r="BL328" s="218" t="s">
        <v>1013</v>
      </c>
      <c r="BM328" s="226" t="s">
        <v>1026</v>
      </c>
    </row>
    <row r="329" spans="1:65" s="252" customFormat="1" ht="33" customHeight="1" x14ac:dyDescent="0.25">
      <c r="A329" s="215">
        <f t="shared" si="102"/>
        <v>212</v>
      </c>
      <c r="B329" s="61" t="s">
        <v>728</v>
      </c>
      <c r="C329" s="226" t="s">
        <v>142</v>
      </c>
      <c r="D329" s="243" t="s">
        <v>52</v>
      </c>
      <c r="E329" s="28">
        <f t="shared" si="99"/>
        <v>1.4</v>
      </c>
      <c r="F329" s="21"/>
      <c r="G329" s="28">
        <f t="shared" si="100"/>
        <v>1.4</v>
      </c>
      <c r="H329" s="238"/>
      <c r="I329" s="238"/>
      <c r="J329" s="238"/>
      <c r="K329" s="238"/>
      <c r="L329" s="238"/>
      <c r="M329" s="238">
        <f>SUM(N329:P329)</f>
        <v>0</v>
      </c>
      <c r="N329" s="238"/>
      <c r="O329" s="238"/>
      <c r="P329" s="238"/>
      <c r="Q329" s="238"/>
      <c r="R329" s="238"/>
      <c r="S329" s="238"/>
      <c r="T329" s="238"/>
      <c r="U329" s="240">
        <f t="shared" si="101"/>
        <v>1.4</v>
      </c>
      <c r="V329" s="49"/>
      <c r="W329" s="238">
        <v>1.4</v>
      </c>
      <c r="X329" s="238"/>
      <c r="Y329" s="238"/>
      <c r="Z329" s="238"/>
      <c r="AA329" s="238"/>
      <c r="AB329" s="238"/>
      <c r="AC329" s="238"/>
      <c r="AD329" s="238"/>
      <c r="AE329" s="238"/>
      <c r="AF329" s="238"/>
      <c r="AG329" s="238"/>
      <c r="AH329" s="238"/>
      <c r="AI329" s="238"/>
      <c r="AJ329" s="238"/>
      <c r="AK329" s="238"/>
      <c r="AL329" s="238"/>
      <c r="AM329" s="238"/>
      <c r="AN329" s="238"/>
      <c r="AO329" s="238"/>
      <c r="AP329" s="238"/>
      <c r="AQ329" s="238"/>
      <c r="AR329" s="238"/>
      <c r="AS329" s="238"/>
      <c r="AT329" s="240"/>
      <c r="AU329" s="238"/>
      <c r="AV329" s="238"/>
      <c r="AW329" s="238"/>
      <c r="AX329" s="238"/>
      <c r="AY329" s="238"/>
      <c r="AZ329" s="238"/>
      <c r="BA329" s="238"/>
      <c r="BB329" s="238"/>
      <c r="BC329" s="238"/>
      <c r="BD329" s="238"/>
      <c r="BE329" s="238"/>
      <c r="BF329" s="238"/>
      <c r="BG329" s="238"/>
      <c r="BH329" s="232" t="s">
        <v>729</v>
      </c>
      <c r="BI329" s="226" t="s">
        <v>142</v>
      </c>
      <c r="BJ329" s="226" t="s">
        <v>730</v>
      </c>
      <c r="BK329" s="239" t="s">
        <v>398</v>
      </c>
      <c r="BL329" s="218" t="s">
        <v>202</v>
      </c>
      <c r="BM329" s="226" t="s">
        <v>1026</v>
      </c>
    </row>
    <row r="330" spans="1:65" s="252" customFormat="1" ht="33" customHeight="1" x14ac:dyDescent="0.25">
      <c r="A330" s="215">
        <f t="shared" si="102"/>
        <v>213</v>
      </c>
      <c r="B330" s="61" t="s">
        <v>731</v>
      </c>
      <c r="C330" s="238" t="s">
        <v>150</v>
      </c>
      <c r="D330" s="218" t="s">
        <v>52</v>
      </c>
      <c r="E330" s="20">
        <f t="shared" si="99"/>
        <v>0.11</v>
      </c>
      <c r="F330" s="20"/>
      <c r="G330" s="28">
        <f t="shared" si="100"/>
        <v>0.11</v>
      </c>
      <c r="H330" s="240"/>
      <c r="I330" s="240"/>
      <c r="J330" s="240"/>
      <c r="K330" s="240">
        <v>0.11</v>
      </c>
      <c r="L330" s="240"/>
      <c r="M330" s="240"/>
      <c r="N330" s="240"/>
      <c r="O330" s="240"/>
      <c r="P330" s="240"/>
      <c r="Q330" s="240"/>
      <c r="R330" s="240"/>
      <c r="S330" s="240"/>
      <c r="T330" s="240"/>
      <c r="U330" s="240">
        <f t="shared" si="101"/>
        <v>0</v>
      </c>
      <c r="V330" s="49"/>
      <c r="W330" s="240"/>
      <c r="X330" s="240"/>
      <c r="Y330" s="240"/>
      <c r="Z330" s="240"/>
      <c r="AA330" s="240"/>
      <c r="AB330" s="240"/>
      <c r="AC330" s="240"/>
      <c r="AD330" s="240"/>
      <c r="AE330" s="240"/>
      <c r="AF330" s="240"/>
      <c r="AG330" s="240"/>
      <c r="AH330" s="240"/>
      <c r="AI330" s="240"/>
      <c r="AJ330" s="240"/>
      <c r="AK330" s="240"/>
      <c r="AL330" s="240"/>
      <c r="AM330" s="240"/>
      <c r="AN330" s="240"/>
      <c r="AO330" s="240"/>
      <c r="AP330" s="240"/>
      <c r="AQ330" s="240"/>
      <c r="AR330" s="240"/>
      <c r="AS330" s="240"/>
      <c r="AT330" s="240"/>
      <c r="AU330" s="240"/>
      <c r="AV330" s="240"/>
      <c r="AW330" s="240"/>
      <c r="AX330" s="240"/>
      <c r="AY330" s="240"/>
      <c r="AZ330" s="240"/>
      <c r="BA330" s="240"/>
      <c r="BB330" s="240"/>
      <c r="BC330" s="240"/>
      <c r="BD330" s="240"/>
      <c r="BE330" s="240"/>
      <c r="BF330" s="240"/>
      <c r="BG330" s="240"/>
      <c r="BH330" s="235" t="s">
        <v>732</v>
      </c>
      <c r="BI330" s="238" t="s">
        <v>150</v>
      </c>
      <c r="BJ330" s="218" t="s">
        <v>1050</v>
      </c>
      <c r="BK330" s="241" t="s">
        <v>120</v>
      </c>
      <c r="BL330" s="218" t="s">
        <v>202</v>
      </c>
      <c r="BM330" s="226" t="s">
        <v>206</v>
      </c>
    </row>
    <row r="331" spans="1:65" s="252" customFormat="1" ht="33" customHeight="1" x14ac:dyDescent="0.25">
      <c r="A331" s="215">
        <f t="shared" si="102"/>
        <v>214</v>
      </c>
      <c r="B331" s="61" t="s">
        <v>733</v>
      </c>
      <c r="C331" s="226" t="s">
        <v>87</v>
      </c>
      <c r="D331" s="243" t="s">
        <v>52</v>
      </c>
      <c r="E331" s="20">
        <f t="shared" si="99"/>
        <v>0.11</v>
      </c>
      <c r="F331" s="21"/>
      <c r="G331" s="28">
        <f t="shared" si="100"/>
        <v>0.11</v>
      </c>
      <c r="H331" s="222"/>
      <c r="I331" s="222"/>
      <c r="J331" s="222"/>
      <c r="K331" s="222"/>
      <c r="L331" s="222"/>
      <c r="M331" s="222"/>
      <c r="N331" s="222"/>
      <c r="O331" s="222"/>
      <c r="P331" s="222"/>
      <c r="Q331" s="222"/>
      <c r="R331" s="222"/>
      <c r="S331" s="222"/>
      <c r="T331" s="222"/>
      <c r="U331" s="33">
        <f t="shared" si="101"/>
        <v>0.11</v>
      </c>
      <c r="V331" s="120">
        <v>0.11</v>
      </c>
      <c r="W331" s="222"/>
      <c r="X331" s="222"/>
      <c r="Y331" s="222"/>
      <c r="Z331" s="222"/>
      <c r="AA331" s="222"/>
      <c r="AB331" s="222"/>
      <c r="AC331" s="222"/>
      <c r="AD331" s="222"/>
      <c r="AE331" s="222"/>
      <c r="AF331" s="222"/>
      <c r="AG331" s="222"/>
      <c r="AH331" s="222"/>
      <c r="AI331" s="222"/>
      <c r="AJ331" s="222"/>
      <c r="AK331" s="222"/>
      <c r="AL331" s="222"/>
      <c r="AM331" s="222"/>
      <c r="AN331" s="222"/>
      <c r="AO331" s="222"/>
      <c r="AP331" s="222"/>
      <c r="AQ331" s="222"/>
      <c r="AR331" s="222"/>
      <c r="AS331" s="222"/>
      <c r="AT331" s="222"/>
      <c r="AU331" s="222"/>
      <c r="AV331" s="222"/>
      <c r="AW331" s="222"/>
      <c r="AX331" s="222"/>
      <c r="AY331" s="222"/>
      <c r="AZ331" s="222"/>
      <c r="BA331" s="222"/>
      <c r="BB331" s="222"/>
      <c r="BC331" s="222"/>
      <c r="BD331" s="222"/>
      <c r="BE331" s="222"/>
      <c r="BF331" s="222"/>
      <c r="BG331" s="222"/>
      <c r="BH331" s="218" t="s">
        <v>734</v>
      </c>
      <c r="BI331" s="226" t="s">
        <v>87</v>
      </c>
      <c r="BJ331" s="235" t="s">
        <v>735</v>
      </c>
      <c r="BK331" s="233" t="s">
        <v>74</v>
      </c>
      <c r="BL331" s="218" t="s">
        <v>202</v>
      </c>
      <c r="BM331" s="226" t="s">
        <v>1026</v>
      </c>
    </row>
    <row r="332" spans="1:65" s="252" customFormat="1" x14ac:dyDescent="0.25">
      <c r="A332" s="215">
        <f t="shared" si="102"/>
        <v>215</v>
      </c>
      <c r="B332" s="61" t="s">
        <v>736</v>
      </c>
      <c r="C332" s="226" t="s">
        <v>99</v>
      </c>
      <c r="D332" s="243" t="s">
        <v>52</v>
      </c>
      <c r="E332" s="20">
        <f t="shared" si="99"/>
        <v>0.1</v>
      </c>
      <c r="F332" s="21"/>
      <c r="G332" s="28">
        <f t="shared" si="100"/>
        <v>0.1</v>
      </c>
      <c r="H332" s="222"/>
      <c r="I332" s="222"/>
      <c r="J332" s="222"/>
      <c r="K332" s="222"/>
      <c r="L332" s="222"/>
      <c r="M332" s="222"/>
      <c r="N332" s="222"/>
      <c r="O332" s="222"/>
      <c r="P332" s="222"/>
      <c r="Q332" s="222"/>
      <c r="R332" s="222"/>
      <c r="S332" s="222"/>
      <c r="T332" s="222"/>
      <c r="U332" s="33">
        <f t="shared" si="101"/>
        <v>0.1</v>
      </c>
      <c r="V332" s="120"/>
      <c r="W332" s="222">
        <v>0.1</v>
      </c>
      <c r="X332" s="222"/>
      <c r="Y332" s="222"/>
      <c r="Z332" s="222"/>
      <c r="AA332" s="222"/>
      <c r="AB332" s="222"/>
      <c r="AC332" s="222"/>
      <c r="AD332" s="222"/>
      <c r="AE332" s="222"/>
      <c r="AF332" s="222"/>
      <c r="AG332" s="222"/>
      <c r="AH332" s="222"/>
      <c r="AI332" s="222"/>
      <c r="AJ332" s="222"/>
      <c r="AK332" s="222"/>
      <c r="AL332" s="222"/>
      <c r="AM332" s="222"/>
      <c r="AN332" s="222"/>
      <c r="AO332" s="222"/>
      <c r="AP332" s="222"/>
      <c r="AQ332" s="222"/>
      <c r="AR332" s="222"/>
      <c r="AS332" s="222"/>
      <c r="AT332" s="222"/>
      <c r="AU332" s="222"/>
      <c r="AV332" s="222"/>
      <c r="AW332" s="222"/>
      <c r="AX332" s="222"/>
      <c r="AY332" s="222"/>
      <c r="AZ332" s="222"/>
      <c r="BA332" s="222"/>
      <c r="BB332" s="222"/>
      <c r="BC332" s="222"/>
      <c r="BD332" s="222"/>
      <c r="BE332" s="222"/>
      <c r="BF332" s="222"/>
      <c r="BG332" s="222"/>
      <c r="BH332" s="218" t="s">
        <v>100</v>
      </c>
      <c r="BI332" s="226" t="s">
        <v>99</v>
      </c>
      <c r="BJ332" s="235" t="s">
        <v>737</v>
      </c>
      <c r="BK332" s="25" t="s">
        <v>375</v>
      </c>
      <c r="BL332" s="218" t="s">
        <v>202</v>
      </c>
      <c r="BM332" s="226" t="s">
        <v>206</v>
      </c>
    </row>
    <row r="333" spans="1:65" s="253" customFormat="1" x14ac:dyDescent="0.25">
      <c r="A333" s="215">
        <f t="shared" si="102"/>
        <v>216</v>
      </c>
      <c r="B333" s="61" t="s">
        <v>738</v>
      </c>
      <c r="C333" s="223" t="s">
        <v>79</v>
      </c>
      <c r="D333" s="243" t="s">
        <v>52</v>
      </c>
      <c r="E333" s="20">
        <f t="shared" si="99"/>
        <v>0.1</v>
      </c>
      <c r="F333" s="21"/>
      <c r="G333" s="28">
        <f t="shared" si="100"/>
        <v>0.1</v>
      </c>
      <c r="H333" s="235"/>
      <c r="I333" s="32"/>
      <c r="J333" s="32"/>
      <c r="K333" s="235"/>
      <c r="L333" s="235"/>
      <c r="M333" s="235"/>
      <c r="N333" s="235"/>
      <c r="O333" s="235"/>
      <c r="P333" s="235"/>
      <c r="Q333" s="235"/>
      <c r="R333" s="235"/>
      <c r="S333" s="235"/>
      <c r="T333" s="235"/>
      <c r="U333" s="33">
        <f t="shared" si="101"/>
        <v>0.1</v>
      </c>
      <c r="V333" s="102">
        <v>0.1</v>
      </c>
      <c r="W333" s="235"/>
      <c r="X333" s="235"/>
      <c r="Y333" s="235"/>
      <c r="Z333" s="235"/>
      <c r="AA333" s="235"/>
      <c r="AB333" s="235"/>
      <c r="AC333" s="235"/>
      <c r="AD333" s="235"/>
      <c r="AE333" s="235"/>
      <c r="AF333" s="235"/>
      <c r="AG333" s="235"/>
      <c r="AH333" s="235"/>
      <c r="AI333" s="235"/>
      <c r="AJ333" s="235"/>
      <c r="AK333" s="235"/>
      <c r="AL333" s="235"/>
      <c r="AM333" s="235"/>
      <c r="AN333" s="235"/>
      <c r="AO333" s="235"/>
      <c r="AP333" s="235"/>
      <c r="AQ333" s="235"/>
      <c r="AR333" s="235"/>
      <c r="AS333" s="235"/>
      <c r="AT333" s="235"/>
      <c r="AU333" s="235"/>
      <c r="AV333" s="235"/>
      <c r="AW333" s="235"/>
      <c r="AX333" s="235"/>
      <c r="AY333" s="235"/>
      <c r="AZ333" s="235"/>
      <c r="BA333" s="235"/>
      <c r="BB333" s="235"/>
      <c r="BC333" s="235"/>
      <c r="BD333" s="235"/>
      <c r="BE333" s="235"/>
      <c r="BF333" s="235"/>
      <c r="BG333" s="235"/>
      <c r="BH333" s="240" t="s">
        <v>270</v>
      </c>
      <c r="BI333" s="223" t="s">
        <v>79</v>
      </c>
      <c r="BJ333" s="226" t="s">
        <v>739</v>
      </c>
      <c r="BK333" s="25" t="s">
        <v>375</v>
      </c>
      <c r="BL333" s="218" t="s">
        <v>202</v>
      </c>
      <c r="BM333" s="226" t="s">
        <v>206</v>
      </c>
    </row>
    <row r="334" spans="1:65" s="252" customFormat="1" x14ac:dyDescent="0.25">
      <c r="A334" s="215">
        <f t="shared" si="102"/>
        <v>217</v>
      </c>
      <c r="B334" s="61" t="s">
        <v>740</v>
      </c>
      <c r="C334" s="223" t="s">
        <v>106</v>
      </c>
      <c r="D334" s="33" t="s">
        <v>52</v>
      </c>
      <c r="E334" s="28">
        <f t="shared" si="99"/>
        <v>0.08</v>
      </c>
      <c r="F334" s="21"/>
      <c r="G334" s="28">
        <f t="shared" si="100"/>
        <v>0.08</v>
      </c>
      <c r="H334" s="235"/>
      <c r="I334" s="235"/>
      <c r="J334" s="235"/>
      <c r="K334" s="235"/>
      <c r="L334" s="235"/>
      <c r="M334" s="235"/>
      <c r="N334" s="235"/>
      <c r="O334" s="235"/>
      <c r="P334" s="235"/>
      <c r="Q334" s="235"/>
      <c r="R334" s="235"/>
      <c r="S334" s="235"/>
      <c r="T334" s="235"/>
      <c r="U334" s="33">
        <f t="shared" si="101"/>
        <v>0.08</v>
      </c>
      <c r="V334" s="235">
        <v>0.08</v>
      </c>
      <c r="W334" s="235"/>
      <c r="X334" s="235"/>
      <c r="Y334" s="235"/>
      <c r="Z334" s="235"/>
      <c r="AA334" s="235"/>
      <c r="AB334" s="235"/>
      <c r="AC334" s="235"/>
      <c r="AD334" s="235"/>
      <c r="AE334" s="60"/>
      <c r="AF334" s="235"/>
      <c r="AG334" s="235"/>
      <c r="AH334" s="235"/>
      <c r="AI334" s="235"/>
      <c r="AJ334" s="235"/>
      <c r="AK334" s="235"/>
      <c r="AL334" s="235"/>
      <c r="AM334" s="235"/>
      <c r="AN334" s="235"/>
      <c r="AO334" s="235"/>
      <c r="AP334" s="235"/>
      <c r="AQ334" s="235"/>
      <c r="AR334" s="235"/>
      <c r="AS334" s="235"/>
      <c r="AT334" s="235"/>
      <c r="AU334" s="235"/>
      <c r="AV334" s="235"/>
      <c r="AW334" s="235"/>
      <c r="AX334" s="235"/>
      <c r="AY334" s="235"/>
      <c r="AZ334" s="235"/>
      <c r="BA334" s="235"/>
      <c r="BB334" s="235"/>
      <c r="BC334" s="235"/>
      <c r="BD334" s="235"/>
      <c r="BE334" s="235"/>
      <c r="BF334" s="235"/>
      <c r="BG334" s="235"/>
      <c r="BH334" s="235" t="s">
        <v>532</v>
      </c>
      <c r="BI334" s="223" t="s">
        <v>106</v>
      </c>
      <c r="BJ334" s="223" t="s">
        <v>741</v>
      </c>
      <c r="BK334" s="241" t="s">
        <v>398</v>
      </c>
      <c r="BL334" s="218" t="s">
        <v>202</v>
      </c>
      <c r="BM334" s="218" t="s">
        <v>206</v>
      </c>
    </row>
    <row r="335" spans="1:65" s="252" customFormat="1" ht="31.5" x14ac:dyDescent="0.25">
      <c r="A335" s="215">
        <f t="shared" si="102"/>
        <v>218</v>
      </c>
      <c r="B335" s="61" t="s">
        <v>742</v>
      </c>
      <c r="C335" s="226" t="s">
        <v>122</v>
      </c>
      <c r="D335" s="243" t="s">
        <v>52</v>
      </c>
      <c r="E335" s="28">
        <f t="shared" si="99"/>
        <v>0.25</v>
      </c>
      <c r="F335" s="20"/>
      <c r="G335" s="28">
        <f t="shared" si="100"/>
        <v>0.25</v>
      </c>
      <c r="H335" s="240"/>
      <c r="I335" s="240"/>
      <c r="J335" s="240"/>
      <c r="K335" s="240"/>
      <c r="L335" s="240"/>
      <c r="M335" s="238">
        <v>0</v>
      </c>
      <c r="N335" s="240"/>
      <c r="O335" s="240"/>
      <c r="P335" s="240"/>
      <c r="Q335" s="238">
        <v>0</v>
      </c>
      <c r="R335" s="240"/>
      <c r="S335" s="240"/>
      <c r="T335" s="240"/>
      <c r="U335" s="240">
        <f t="shared" si="101"/>
        <v>0.25</v>
      </c>
      <c r="V335" s="240">
        <v>0.25</v>
      </c>
      <c r="W335" s="240"/>
      <c r="X335" s="240"/>
      <c r="Y335" s="240"/>
      <c r="Z335" s="240"/>
      <c r="AA335" s="240"/>
      <c r="AB335" s="240"/>
      <c r="AC335" s="240"/>
      <c r="AD335" s="240"/>
      <c r="AE335" s="240"/>
      <c r="AF335" s="240"/>
      <c r="AG335" s="240"/>
      <c r="AH335" s="240"/>
      <c r="AI335" s="240"/>
      <c r="AJ335" s="240"/>
      <c r="AK335" s="240"/>
      <c r="AL335" s="240"/>
      <c r="AM335" s="240"/>
      <c r="AN335" s="240"/>
      <c r="AO335" s="240"/>
      <c r="AP335" s="240"/>
      <c r="AQ335" s="240"/>
      <c r="AR335" s="240"/>
      <c r="AS335" s="240"/>
      <c r="AT335" s="240"/>
      <c r="AU335" s="240"/>
      <c r="AV335" s="240"/>
      <c r="AW335" s="240"/>
      <c r="AX335" s="240"/>
      <c r="AY335" s="240"/>
      <c r="AZ335" s="240"/>
      <c r="BA335" s="240"/>
      <c r="BB335" s="240"/>
      <c r="BC335" s="240"/>
      <c r="BD335" s="240"/>
      <c r="BE335" s="240"/>
      <c r="BF335" s="240"/>
      <c r="BG335" s="240"/>
      <c r="BH335" s="219" t="s">
        <v>275</v>
      </c>
      <c r="BI335" s="226" t="s">
        <v>122</v>
      </c>
      <c r="BJ335" s="218" t="s">
        <v>743</v>
      </c>
      <c r="BK335" s="239" t="s">
        <v>398</v>
      </c>
      <c r="BL335" s="218" t="s">
        <v>202</v>
      </c>
      <c r="BM335" s="226" t="s">
        <v>1026</v>
      </c>
    </row>
    <row r="336" spans="1:65" s="252" customFormat="1" ht="31.5" x14ac:dyDescent="0.25">
      <c r="A336" s="215">
        <f t="shared" si="102"/>
        <v>219</v>
      </c>
      <c r="B336" s="97" t="s">
        <v>744</v>
      </c>
      <c r="C336" s="226" t="s">
        <v>122</v>
      </c>
      <c r="D336" s="243" t="s">
        <v>52</v>
      </c>
      <c r="E336" s="28">
        <f t="shared" si="99"/>
        <v>0.83000000000000007</v>
      </c>
      <c r="F336" s="20">
        <v>0.34</v>
      </c>
      <c r="G336" s="28">
        <f t="shared" si="100"/>
        <v>0.49</v>
      </c>
      <c r="H336" s="240"/>
      <c r="I336" s="240"/>
      <c r="J336" s="240"/>
      <c r="K336" s="240"/>
      <c r="L336" s="240"/>
      <c r="M336" s="238">
        <v>0</v>
      </c>
      <c r="N336" s="240"/>
      <c r="O336" s="240"/>
      <c r="P336" s="240"/>
      <c r="Q336" s="238">
        <v>0</v>
      </c>
      <c r="R336" s="240"/>
      <c r="S336" s="240"/>
      <c r="T336" s="240"/>
      <c r="U336" s="240">
        <f t="shared" si="101"/>
        <v>0.49</v>
      </c>
      <c r="V336" s="240">
        <v>0.49</v>
      </c>
      <c r="W336" s="240"/>
      <c r="X336" s="240"/>
      <c r="Y336" s="240"/>
      <c r="Z336" s="240"/>
      <c r="AA336" s="240"/>
      <c r="AB336" s="240"/>
      <c r="AC336" s="240"/>
      <c r="AD336" s="240"/>
      <c r="AE336" s="240"/>
      <c r="AF336" s="240"/>
      <c r="AG336" s="240"/>
      <c r="AH336" s="240"/>
      <c r="AI336" s="240"/>
      <c r="AJ336" s="240"/>
      <c r="AK336" s="240"/>
      <c r="AL336" s="240"/>
      <c r="AM336" s="240"/>
      <c r="AN336" s="240"/>
      <c r="AO336" s="240"/>
      <c r="AP336" s="240"/>
      <c r="AQ336" s="240"/>
      <c r="AR336" s="240"/>
      <c r="AS336" s="240"/>
      <c r="AT336" s="240"/>
      <c r="AU336" s="240"/>
      <c r="AV336" s="240"/>
      <c r="AW336" s="240"/>
      <c r="AX336" s="240"/>
      <c r="AY336" s="240"/>
      <c r="AZ336" s="240"/>
      <c r="BA336" s="240"/>
      <c r="BB336" s="240"/>
      <c r="BC336" s="240"/>
      <c r="BD336" s="240"/>
      <c r="BE336" s="240"/>
      <c r="BF336" s="240"/>
      <c r="BG336" s="240"/>
      <c r="BH336" s="235" t="s">
        <v>745</v>
      </c>
      <c r="BI336" s="226" t="s">
        <v>122</v>
      </c>
      <c r="BJ336" s="218" t="s">
        <v>746</v>
      </c>
      <c r="BK336" s="239" t="s">
        <v>398</v>
      </c>
      <c r="BL336" s="218" t="s">
        <v>202</v>
      </c>
      <c r="BM336" s="226" t="s">
        <v>1026</v>
      </c>
    </row>
    <row r="337" spans="1:65" s="252" customFormat="1" ht="31.5" x14ac:dyDescent="0.25">
      <c r="A337" s="215">
        <f>A336+1</f>
        <v>220</v>
      </c>
      <c r="B337" s="94" t="s">
        <v>747</v>
      </c>
      <c r="C337" s="226" t="s">
        <v>71</v>
      </c>
      <c r="D337" s="243" t="s">
        <v>52</v>
      </c>
      <c r="E337" s="28">
        <f t="shared" si="99"/>
        <v>0.6</v>
      </c>
      <c r="F337" s="20">
        <v>0.13</v>
      </c>
      <c r="G337" s="28">
        <f t="shared" si="100"/>
        <v>0.47</v>
      </c>
      <c r="H337" s="92"/>
      <c r="I337" s="92"/>
      <c r="J337" s="92"/>
      <c r="K337" s="92"/>
      <c r="L337" s="92"/>
      <c r="M337" s="222">
        <f>SUM(N337:P337)</f>
        <v>0</v>
      </c>
      <c r="N337" s="92"/>
      <c r="O337" s="92"/>
      <c r="P337" s="92"/>
      <c r="Q337" s="222">
        <f>R337+S337+T337</f>
        <v>0</v>
      </c>
      <c r="R337" s="92"/>
      <c r="S337" s="92"/>
      <c r="T337" s="92"/>
      <c r="U337" s="240">
        <f t="shared" si="101"/>
        <v>0.47</v>
      </c>
      <c r="V337" s="49">
        <v>0.47</v>
      </c>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219" t="s">
        <v>76</v>
      </c>
      <c r="BI337" s="226" t="s">
        <v>71</v>
      </c>
      <c r="BJ337" s="226" t="s">
        <v>748</v>
      </c>
      <c r="BK337" s="241" t="s">
        <v>120</v>
      </c>
      <c r="BL337" s="218" t="s">
        <v>202</v>
      </c>
      <c r="BM337" s="226" t="s">
        <v>1026</v>
      </c>
    </row>
    <row r="338" spans="1:65" s="252" customFormat="1" x14ac:dyDescent="0.25">
      <c r="A338" s="56" t="s">
        <v>749</v>
      </c>
      <c r="B338" s="70" t="s">
        <v>750</v>
      </c>
      <c r="C338" s="47"/>
      <c r="D338" s="44"/>
      <c r="E338" s="46">
        <f>E339</f>
        <v>4.7</v>
      </c>
      <c r="F338" s="46">
        <f>F339</f>
        <v>0</v>
      </c>
      <c r="G338" s="46">
        <f>G339</f>
        <v>4.7</v>
      </c>
      <c r="H338" s="46">
        <f>H339</f>
        <v>0</v>
      </c>
      <c r="I338" s="46">
        <f t="shared" ref="I338:BG338" si="103">I339</f>
        <v>0</v>
      </c>
      <c r="J338" s="46">
        <f t="shared" si="103"/>
        <v>0</v>
      </c>
      <c r="K338" s="46">
        <f t="shared" si="103"/>
        <v>0</v>
      </c>
      <c r="L338" s="46">
        <f t="shared" si="103"/>
        <v>0</v>
      </c>
      <c r="M338" s="46">
        <f t="shared" si="103"/>
        <v>0</v>
      </c>
      <c r="N338" s="46">
        <f t="shared" si="103"/>
        <v>0</v>
      </c>
      <c r="O338" s="46">
        <f t="shared" si="103"/>
        <v>0</v>
      </c>
      <c r="P338" s="46">
        <f t="shared" si="103"/>
        <v>0</v>
      </c>
      <c r="Q338" s="46">
        <f t="shared" si="103"/>
        <v>0</v>
      </c>
      <c r="R338" s="46">
        <f t="shared" si="103"/>
        <v>0</v>
      </c>
      <c r="S338" s="46">
        <f t="shared" si="103"/>
        <v>0</v>
      </c>
      <c r="T338" s="46">
        <f t="shared" si="103"/>
        <v>0</v>
      </c>
      <c r="U338" s="47">
        <f t="shared" si="103"/>
        <v>4.7</v>
      </c>
      <c r="V338" s="46">
        <f t="shared" si="103"/>
        <v>4.7</v>
      </c>
      <c r="W338" s="46">
        <f t="shared" si="103"/>
        <v>0</v>
      </c>
      <c r="X338" s="46">
        <f t="shared" si="103"/>
        <v>0</v>
      </c>
      <c r="Y338" s="46">
        <f t="shared" si="103"/>
        <v>0</v>
      </c>
      <c r="Z338" s="46">
        <f t="shared" si="103"/>
        <v>0</v>
      </c>
      <c r="AA338" s="46">
        <f t="shared" si="103"/>
        <v>0</v>
      </c>
      <c r="AB338" s="46">
        <f t="shared" si="103"/>
        <v>0</v>
      </c>
      <c r="AC338" s="46">
        <f t="shared" si="103"/>
        <v>0</v>
      </c>
      <c r="AD338" s="46">
        <f t="shared" si="103"/>
        <v>0</v>
      </c>
      <c r="AE338" s="46">
        <f t="shared" si="103"/>
        <v>0</v>
      </c>
      <c r="AF338" s="46">
        <f t="shared" si="103"/>
        <v>0</v>
      </c>
      <c r="AG338" s="46">
        <f t="shared" si="103"/>
        <v>0</v>
      </c>
      <c r="AH338" s="46">
        <f t="shared" si="103"/>
        <v>0</v>
      </c>
      <c r="AI338" s="46">
        <f t="shared" si="103"/>
        <v>0</v>
      </c>
      <c r="AJ338" s="46">
        <f t="shared" si="103"/>
        <v>0</v>
      </c>
      <c r="AK338" s="46">
        <f t="shared" si="103"/>
        <v>0</v>
      </c>
      <c r="AL338" s="46">
        <f t="shared" si="103"/>
        <v>0</v>
      </c>
      <c r="AM338" s="46">
        <f t="shared" si="103"/>
        <v>0</v>
      </c>
      <c r="AN338" s="46">
        <f t="shared" si="103"/>
        <v>0</v>
      </c>
      <c r="AO338" s="46">
        <f t="shared" si="103"/>
        <v>0</v>
      </c>
      <c r="AP338" s="46">
        <f t="shared" si="103"/>
        <v>0</v>
      </c>
      <c r="AQ338" s="46">
        <f t="shared" si="103"/>
        <v>0</v>
      </c>
      <c r="AR338" s="46">
        <f t="shared" si="103"/>
        <v>0</v>
      </c>
      <c r="AS338" s="46">
        <f t="shared" si="103"/>
        <v>0</v>
      </c>
      <c r="AT338" s="46">
        <f t="shared" si="103"/>
        <v>0</v>
      </c>
      <c r="AU338" s="46">
        <f t="shared" si="103"/>
        <v>0</v>
      </c>
      <c r="AV338" s="46">
        <f t="shared" si="103"/>
        <v>0</v>
      </c>
      <c r="AW338" s="46">
        <f t="shared" si="103"/>
        <v>0</v>
      </c>
      <c r="AX338" s="46">
        <f t="shared" si="103"/>
        <v>0</v>
      </c>
      <c r="AY338" s="46">
        <f t="shared" si="103"/>
        <v>0</v>
      </c>
      <c r="AZ338" s="46">
        <f t="shared" si="103"/>
        <v>0</v>
      </c>
      <c r="BA338" s="46">
        <f t="shared" si="103"/>
        <v>0</v>
      </c>
      <c r="BB338" s="46">
        <f t="shared" si="103"/>
        <v>0</v>
      </c>
      <c r="BC338" s="46">
        <f t="shared" si="103"/>
        <v>0</v>
      </c>
      <c r="BD338" s="46">
        <f t="shared" si="103"/>
        <v>0</v>
      </c>
      <c r="BE338" s="46">
        <f t="shared" si="103"/>
        <v>0</v>
      </c>
      <c r="BF338" s="46">
        <f t="shared" si="103"/>
        <v>0</v>
      </c>
      <c r="BG338" s="46">
        <f t="shared" si="103"/>
        <v>0</v>
      </c>
      <c r="BH338" s="47"/>
      <c r="BI338" s="47"/>
      <c r="BJ338" s="47"/>
      <c r="BK338" s="47"/>
      <c r="BL338" s="47"/>
      <c r="BM338" s="47"/>
    </row>
    <row r="339" spans="1:65" s="253" customFormat="1" ht="31.5" x14ac:dyDescent="0.25">
      <c r="A339" s="203">
        <f>A337+1</f>
        <v>221</v>
      </c>
      <c r="B339" s="143" t="s">
        <v>751</v>
      </c>
      <c r="C339" s="238" t="s">
        <v>122</v>
      </c>
      <c r="D339" s="238" t="s">
        <v>43</v>
      </c>
      <c r="E339" s="78">
        <f>F339+G339</f>
        <v>4.7</v>
      </c>
      <c r="F339" s="78"/>
      <c r="G339" s="22">
        <f>SUM(H339:M339,Q339,U339,Y339:BG339)</f>
        <v>4.7</v>
      </c>
      <c r="H339" s="238"/>
      <c r="I339" s="238"/>
      <c r="J339" s="238"/>
      <c r="K339" s="238"/>
      <c r="L339" s="238"/>
      <c r="M339" s="238">
        <v>0</v>
      </c>
      <c r="N339" s="238"/>
      <c r="O339" s="238"/>
      <c r="P339" s="238"/>
      <c r="Q339" s="238">
        <v>0</v>
      </c>
      <c r="R339" s="238"/>
      <c r="S339" s="238"/>
      <c r="T339" s="238"/>
      <c r="U339" s="240">
        <f>SUM(V339:X339)</f>
        <v>4.7</v>
      </c>
      <c r="V339" s="240">
        <v>4.7</v>
      </c>
      <c r="W339" s="240"/>
      <c r="X339" s="240"/>
      <c r="Y339" s="238"/>
      <c r="Z339" s="238"/>
      <c r="AA339" s="238"/>
      <c r="AB339" s="238"/>
      <c r="AC339" s="238"/>
      <c r="AD339" s="238"/>
      <c r="AE339" s="238"/>
      <c r="AF339" s="238"/>
      <c r="AG339" s="238"/>
      <c r="AH339" s="238"/>
      <c r="AI339" s="238"/>
      <c r="AJ339" s="238"/>
      <c r="AK339" s="238"/>
      <c r="AL339" s="238"/>
      <c r="AM339" s="238"/>
      <c r="AN339" s="238"/>
      <c r="AO339" s="238"/>
      <c r="AP339" s="238"/>
      <c r="AQ339" s="238"/>
      <c r="AR339" s="238"/>
      <c r="AS339" s="238"/>
      <c r="AT339" s="238"/>
      <c r="AU339" s="238"/>
      <c r="AV339" s="238"/>
      <c r="AW339" s="238"/>
      <c r="AX339" s="238"/>
      <c r="AY339" s="238"/>
      <c r="AZ339" s="238"/>
      <c r="BA339" s="238"/>
      <c r="BB339" s="238"/>
      <c r="BC339" s="238"/>
      <c r="BD339" s="238"/>
      <c r="BE339" s="238"/>
      <c r="BF339" s="238"/>
      <c r="BG339" s="238"/>
      <c r="BH339" s="238" t="s">
        <v>752</v>
      </c>
      <c r="BI339" s="238" t="s">
        <v>122</v>
      </c>
      <c r="BJ339" s="218" t="s">
        <v>753</v>
      </c>
      <c r="BK339" s="238" t="s">
        <v>398</v>
      </c>
      <c r="BL339" s="238" t="s">
        <v>754</v>
      </c>
      <c r="BM339" s="226" t="s">
        <v>1026</v>
      </c>
    </row>
    <row r="340" spans="1:65" s="252" customFormat="1" x14ac:dyDescent="0.25">
      <c r="A340" s="56" t="s">
        <v>755</v>
      </c>
      <c r="B340" s="70" t="s">
        <v>756</v>
      </c>
      <c r="C340" s="240"/>
      <c r="D340" s="44"/>
      <c r="E340" s="59">
        <f>F340+G340</f>
        <v>2.3000000000000003</v>
      </c>
      <c r="F340" s="59">
        <f>SUM(F341:F342)</f>
        <v>0</v>
      </c>
      <c r="G340" s="59">
        <f>SUM(G341:G342)</f>
        <v>2.3000000000000003</v>
      </c>
      <c r="H340" s="59">
        <f>SUM(H341:H342)</f>
        <v>0.87</v>
      </c>
      <c r="I340" s="59">
        <f t="shared" ref="I340:BG340" si="104">SUM(I341:I342)</f>
        <v>0</v>
      </c>
      <c r="J340" s="59">
        <f t="shared" si="104"/>
        <v>0</v>
      </c>
      <c r="K340" s="59">
        <f t="shared" si="104"/>
        <v>0.2</v>
      </c>
      <c r="L340" s="59">
        <f t="shared" si="104"/>
        <v>0.1</v>
      </c>
      <c r="M340" s="59">
        <f t="shared" si="104"/>
        <v>0</v>
      </c>
      <c r="N340" s="59">
        <f t="shared" si="104"/>
        <v>0</v>
      </c>
      <c r="O340" s="59">
        <f t="shared" si="104"/>
        <v>0</v>
      </c>
      <c r="P340" s="59">
        <f t="shared" si="104"/>
        <v>0</v>
      </c>
      <c r="Q340" s="59">
        <f t="shared" si="104"/>
        <v>0</v>
      </c>
      <c r="R340" s="59">
        <f t="shared" si="104"/>
        <v>0</v>
      </c>
      <c r="S340" s="59">
        <f t="shared" si="104"/>
        <v>0</v>
      </c>
      <c r="T340" s="59">
        <f t="shared" si="104"/>
        <v>0</v>
      </c>
      <c r="U340" s="71">
        <f t="shared" si="104"/>
        <v>0.6</v>
      </c>
      <c r="V340" s="59">
        <f t="shared" si="104"/>
        <v>0</v>
      </c>
      <c r="W340" s="59">
        <f t="shared" si="104"/>
        <v>0.6</v>
      </c>
      <c r="X340" s="59">
        <f t="shared" si="104"/>
        <v>0</v>
      </c>
      <c r="Y340" s="59">
        <f t="shared" si="104"/>
        <v>0</v>
      </c>
      <c r="Z340" s="59">
        <f t="shared" si="104"/>
        <v>0</v>
      </c>
      <c r="AA340" s="59">
        <f t="shared" si="104"/>
        <v>0</v>
      </c>
      <c r="AB340" s="59">
        <f t="shared" si="104"/>
        <v>0</v>
      </c>
      <c r="AC340" s="59">
        <f t="shared" si="104"/>
        <v>0</v>
      </c>
      <c r="AD340" s="59">
        <f t="shared" si="104"/>
        <v>0</v>
      </c>
      <c r="AE340" s="59">
        <f t="shared" si="104"/>
        <v>0</v>
      </c>
      <c r="AF340" s="59">
        <f t="shared" si="104"/>
        <v>9.9999999999999992E-2</v>
      </c>
      <c r="AG340" s="59">
        <f t="shared" si="104"/>
        <v>0.05</v>
      </c>
      <c r="AH340" s="59">
        <f t="shared" si="104"/>
        <v>0</v>
      </c>
      <c r="AI340" s="59">
        <f t="shared" si="104"/>
        <v>0</v>
      </c>
      <c r="AJ340" s="59">
        <f t="shared" si="104"/>
        <v>0</v>
      </c>
      <c r="AK340" s="59">
        <f t="shared" si="104"/>
        <v>0</v>
      </c>
      <c r="AL340" s="59">
        <f t="shared" si="104"/>
        <v>0</v>
      </c>
      <c r="AM340" s="59">
        <f t="shared" si="104"/>
        <v>0</v>
      </c>
      <c r="AN340" s="59">
        <f t="shared" si="104"/>
        <v>0</v>
      </c>
      <c r="AO340" s="59">
        <f t="shared" si="104"/>
        <v>0</v>
      </c>
      <c r="AP340" s="59">
        <f t="shared" si="104"/>
        <v>0</v>
      </c>
      <c r="AQ340" s="59">
        <f t="shared" si="104"/>
        <v>0</v>
      </c>
      <c r="AR340" s="59">
        <f t="shared" si="104"/>
        <v>0</v>
      </c>
      <c r="AS340" s="59">
        <f t="shared" si="104"/>
        <v>0</v>
      </c>
      <c r="AT340" s="59">
        <f t="shared" si="104"/>
        <v>0.08</v>
      </c>
      <c r="AU340" s="59">
        <f t="shared" si="104"/>
        <v>0</v>
      </c>
      <c r="AV340" s="59">
        <f t="shared" si="104"/>
        <v>0</v>
      </c>
      <c r="AW340" s="59">
        <f t="shared" si="104"/>
        <v>0</v>
      </c>
      <c r="AX340" s="59">
        <f t="shared" si="104"/>
        <v>0</v>
      </c>
      <c r="AY340" s="59">
        <f t="shared" si="104"/>
        <v>0</v>
      </c>
      <c r="AZ340" s="59">
        <f t="shared" si="104"/>
        <v>0</v>
      </c>
      <c r="BA340" s="59">
        <f t="shared" si="104"/>
        <v>0</v>
      </c>
      <c r="BB340" s="59">
        <f t="shared" si="104"/>
        <v>0</v>
      </c>
      <c r="BC340" s="59">
        <f t="shared" si="104"/>
        <v>0</v>
      </c>
      <c r="BD340" s="59">
        <f t="shared" si="104"/>
        <v>0</v>
      </c>
      <c r="BE340" s="59">
        <f t="shared" si="104"/>
        <v>0</v>
      </c>
      <c r="BF340" s="59">
        <f t="shared" si="104"/>
        <v>0</v>
      </c>
      <c r="BG340" s="59">
        <f t="shared" si="104"/>
        <v>0.3</v>
      </c>
      <c r="BH340" s="238"/>
      <c r="BI340" s="240"/>
      <c r="BJ340" s="240"/>
      <c r="BK340" s="240"/>
      <c r="BL340" s="238"/>
      <c r="BM340" s="238"/>
    </row>
    <row r="341" spans="1:65" s="252" customFormat="1" ht="31.5" x14ac:dyDescent="0.25">
      <c r="A341" s="223">
        <f>A339+1</f>
        <v>222</v>
      </c>
      <c r="B341" s="76" t="s">
        <v>757</v>
      </c>
      <c r="C341" s="223" t="s">
        <v>122</v>
      </c>
      <c r="D341" s="243" t="s">
        <v>44</v>
      </c>
      <c r="E341" s="20">
        <v>0.5</v>
      </c>
      <c r="F341" s="21"/>
      <c r="G341" s="28">
        <v>0.5</v>
      </c>
      <c r="H341" s="235">
        <v>0.49</v>
      </c>
      <c r="I341" s="29"/>
      <c r="J341" s="32"/>
      <c r="K341" s="29"/>
      <c r="L341" s="29"/>
      <c r="M341" s="235"/>
      <c r="N341" s="235"/>
      <c r="O341" s="235"/>
      <c r="P341" s="235"/>
      <c r="Q341" s="33"/>
      <c r="R341" s="235"/>
      <c r="S341" s="235"/>
      <c r="T341" s="235"/>
      <c r="U341" s="240">
        <f>SUM(V341:X341)</f>
        <v>0</v>
      </c>
      <c r="V341" s="60"/>
      <c r="W341" s="235"/>
      <c r="X341" s="235"/>
      <c r="Y341" s="235"/>
      <c r="Z341" s="235"/>
      <c r="AA341" s="235"/>
      <c r="AB341" s="235"/>
      <c r="AC341" s="235"/>
      <c r="AD341" s="235"/>
      <c r="AE341" s="235"/>
      <c r="AF341" s="235">
        <v>0.01</v>
      </c>
      <c r="AG341" s="235"/>
      <c r="AH341" s="235"/>
      <c r="AI341" s="235"/>
      <c r="AJ341" s="235"/>
      <c r="AK341" s="235"/>
      <c r="AL341" s="235"/>
      <c r="AM341" s="235"/>
      <c r="AN341" s="235"/>
      <c r="AO341" s="235"/>
      <c r="AP341" s="235"/>
      <c r="AQ341" s="235"/>
      <c r="AR341" s="235"/>
      <c r="AS341" s="235"/>
      <c r="AT341" s="235"/>
      <c r="AU341" s="235"/>
      <c r="AV341" s="235"/>
      <c r="AW341" s="235"/>
      <c r="AX341" s="235"/>
      <c r="AY341" s="235"/>
      <c r="AZ341" s="235"/>
      <c r="BA341" s="235"/>
      <c r="BB341" s="235"/>
      <c r="BC341" s="235"/>
      <c r="BD341" s="235"/>
      <c r="BE341" s="235"/>
      <c r="BF341" s="235"/>
      <c r="BG341" s="235"/>
      <c r="BH341" s="232" t="s">
        <v>123</v>
      </c>
      <c r="BI341" s="223" t="s">
        <v>122</v>
      </c>
      <c r="BJ341" s="238" t="s">
        <v>758</v>
      </c>
      <c r="BK341" s="220" t="s">
        <v>120</v>
      </c>
      <c r="BL341" s="218" t="s">
        <v>202</v>
      </c>
      <c r="BM341" s="226" t="s">
        <v>1026</v>
      </c>
    </row>
    <row r="342" spans="1:65" s="252" customFormat="1" ht="31.5" x14ac:dyDescent="0.25">
      <c r="A342" s="223">
        <f>A341+1</f>
        <v>223</v>
      </c>
      <c r="B342" s="76" t="s">
        <v>759</v>
      </c>
      <c r="C342" s="223" t="s">
        <v>79</v>
      </c>
      <c r="D342" s="243" t="s">
        <v>44</v>
      </c>
      <c r="E342" s="20">
        <f t="shared" ref="E342:E380" si="105">F342+G342</f>
        <v>1.8000000000000003</v>
      </c>
      <c r="F342" s="21"/>
      <c r="G342" s="28">
        <f t="shared" ref="G342:G359" si="106">SUM(H342:M342,Q342,U342,Y342:BG342)</f>
        <v>1.8000000000000003</v>
      </c>
      <c r="H342" s="235">
        <v>0.38</v>
      </c>
      <c r="I342" s="60"/>
      <c r="J342" s="32"/>
      <c r="K342" s="60">
        <v>0.2</v>
      </c>
      <c r="L342" s="60">
        <v>0.1</v>
      </c>
      <c r="M342" s="235"/>
      <c r="N342" s="235"/>
      <c r="O342" s="235"/>
      <c r="P342" s="235"/>
      <c r="Q342" s="33"/>
      <c r="R342" s="235"/>
      <c r="S342" s="235"/>
      <c r="T342" s="235"/>
      <c r="U342" s="33">
        <f>SUM(V342:X342)</f>
        <v>0.6</v>
      </c>
      <c r="V342" s="60"/>
      <c r="W342" s="235">
        <v>0.6</v>
      </c>
      <c r="X342" s="235"/>
      <c r="Y342" s="235"/>
      <c r="Z342" s="235"/>
      <c r="AA342" s="235"/>
      <c r="AB342" s="235"/>
      <c r="AC342" s="235"/>
      <c r="AD342" s="235"/>
      <c r="AE342" s="235"/>
      <c r="AF342" s="235">
        <v>0.09</v>
      </c>
      <c r="AG342" s="235">
        <v>0.05</v>
      </c>
      <c r="AH342" s="235"/>
      <c r="AI342" s="235"/>
      <c r="AJ342" s="235"/>
      <c r="AK342" s="235"/>
      <c r="AL342" s="235"/>
      <c r="AM342" s="235"/>
      <c r="AN342" s="235"/>
      <c r="AO342" s="235"/>
      <c r="AP342" s="235"/>
      <c r="AQ342" s="235"/>
      <c r="AR342" s="235"/>
      <c r="AS342" s="235"/>
      <c r="AT342" s="235">
        <v>0.08</v>
      </c>
      <c r="AU342" s="235"/>
      <c r="AV342" s="235"/>
      <c r="AW342" s="235"/>
      <c r="AX342" s="235"/>
      <c r="AY342" s="235"/>
      <c r="AZ342" s="235"/>
      <c r="BA342" s="235"/>
      <c r="BB342" s="235"/>
      <c r="BC342" s="235"/>
      <c r="BD342" s="235"/>
      <c r="BE342" s="235"/>
      <c r="BF342" s="235"/>
      <c r="BG342" s="235">
        <v>0.3</v>
      </c>
      <c r="BH342" s="232" t="s">
        <v>299</v>
      </c>
      <c r="BI342" s="223" t="s">
        <v>79</v>
      </c>
      <c r="BJ342" s="243" t="s">
        <v>760</v>
      </c>
      <c r="BK342" s="220" t="s">
        <v>398</v>
      </c>
      <c r="BL342" s="218" t="s">
        <v>202</v>
      </c>
      <c r="BM342" s="226" t="s">
        <v>1026</v>
      </c>
    </row>
    <row r="343" spans="1:65" s="252" customFormat="1" x14ac:dyDescent="0.25">
      <c r="A343" s="56" t="s">
        <v>761</v>
      </c>
      <c r="B343" s="148" t="s">
        <v>762</v>
      </c>
      <c r="C343" s="58"/>
      <c r="D343" s="44" t="s">
        <v>54</v>
      </c>
      <c r="E343" s="93">
        <f t="shared" si="105"/>
        <v>2.5200000000000005</v>
      </c>
      <c r="F343" s="72">
        <f>SUM(F344:F359)</f>
        <v>0.60000000000000009</v>
      </c>
      <c r="G343" s="72">
        <f>SUM(G344:G359)</f>
        <v>1.9200000000000006</v>
      </c>
      <c r="H343" s="72">
        <f>SUM(H344:H359)</f>
        <v>0.03</v>
      </c>
      <c r="I343" s="72">
        <f t="shared" ref="I343:BG343" si="107">SUM(I344:I359)</f>
        <v>0.03</v>
      </c>
      <c r="J343" s="72">
        <f t="shared" si="107"/>
        <v>0</v>
      </c>
      <c r="K343" s="72">
        <f t="shared" si="107"/>
        <v>0.30000000000000004</v>
      </c>
      <c r="L343" s="72">
        <f t="shared" si="107"/>
        <v>0.48</v>
      </c>
      <c r="M343" s="72">
        <f t="shared" si="107"/>
        <v>0</v>
      </c>
      <c r="N343" s="72">
        <f t="shared" si="107"/>
        <v>0</v>
      </c>
      <c r="O343" s="72">
        <f t="shared" si="107"/>
        <v>0</v>
      </c>
      <c r="P343" s="72">
        <f t="shared" si="107"/>
        <v>0</v>
      </c>
      <c r="Q343" s="72">
        <f t="shared" si="107"/>
        <v>0</v>
      </c>
      <c r="R343" s="72">
        <f t="shared" si="107"/>
        <v>0</v>
      </c>
      <c r="S343" s="72">
        <f t="shared" si="107"/>
        <v>0</v>
      </c>
      <c r="T343" s="72">
        <f t="shared" si="107"/>
        <v>0</v>
      </c>
      <c r="U343" s="165">
        <f t="shared" si="107"/>
        <v>0.39</v>
      </c>
      <c r="V343" s="72">
        <f t="shared" si="107"/>
        <v>0.34</v>
      </c>
      <c r="W343" s="72">
        <f t="shared" si="107"/>
        <v>0.05</v>
      </c>
      <c r="X343" s="72">
        <f t="shared" si="107"/>
        <v>0</v>
      </c>
      <c r="Y343" s="72">
        <f t="shared" si="107"/>
        <v>0</v>
      </c>
      <c r="Z343" s="72">
        <f t="shared" si="107"/>
        <v>0</v>
      </c>
      <c r="AA343" s="72">
        <f t="shared" si="107"/>
        <v>0</v>
      </c>
      <c r="AB343" s="72">
        <f t="shared" si="107"/>
        <v>0</v>
      </c>
      <c r="AC343" s="72">
        <f t="shared" si="107"/>
        <v>0</v>
      </c>
      <c r="AD343" s="72">
        <f t="shared" si="107"/>
        <v>0</v>
      </c>
      <c r="AE343" s="72">
        <f t="shared" si="107"/>
        <v>0</v>
      </c>
      <c r="AF343" s="72">
        <f t="shared" si="107"/>
        <v>0.04</v>
      </c>
      <c r="AG343" s="72">
        <f t="shared" si="107"/>
        <v>0</v>
      </c>
      <c r="AH343" s="72">
        <f t="shared" si="107"/>
        <v>0</v>
      </c>
      <c r="AI343" s="72">
        <f t="shared" si="107"/>
        <v>0</v>
      </c>
      <c r="AJ343" s="72">
        <f t="shared" si="107"/>
        <v>0</v>
      </c>
      <c r="AK343" s="72">
        <f t="shared" si="107"/>
        <v>0.04</v>
      </c>
      <c r="AL343" s="72">
        <f t="shared" si="107"/>
        <v>0.36000000000000004</v>
      </c>
      <c r="AM343" s="72">
        <f t="shared" si="107"/>
        <v>0</v>
      </c>
      <c r="AN343" s="72">
        <f t="shared" si="107"/>
        <v>0</v>
      </c>
      <c r="AO343" s="72">
        <f t="shared" si="107"/>
        <v>0</v>
      </c>
      <c r="AP343" s="72">
        <f t="shared" si="107"/>
        <v>0</v>
      </c>
      <c r="AQ343" s="72">
        <f t="shared" si="107"/>
        <v>0</v>
      </c>
      <c r="AR343" s="72">
        <f t="shared" si="107"/>
        <v>0</v>
      </c>
      <c r="AS343" s="72">
        <f t="shared" si="107"/>
        <v>0</v>
      </c>
      <c r="AT343" s="72">
        <f t="shared" si="107"/>
        <v>0.11</v>
      </c>
      <c r="AU343" s="72">
        <f t="shared" si="107"/>
        <v>0.02</v>
      </c>
      <c r="AV343" s="72">
        <f t="shared" si="107"/>
        <v>0.06</v>
      </c>
      <c r="AW343" s="72">
        <f t="shared" si="107"/>
        <v>0</v>
      </c>
      <c r="AX343" s="72">
        <f t="shared" si="107"/>
        <v>0</v>
      </c>
      <c r="AY343" s="72">
        <f t="shared" si="107"/>
        <v>0</v>
      </c>
      <c r="AZ343" s="72">
        <f t="shared" si="107"/>
        <v>0</v>
      </c>
      <c r="BA343" s="72">
        <f t="shared" si="107"/>
        <v>0</v>
      </c>
      <c r="BB343" s="72">
        <f t="shared" si="107"/>
        <v>0</v>
      </c>
      <c r="BC343" s="72">
        <f t="shared" si="107"/>
        <v>0</v>
      </c>
      <c r="BD343" s="72">
        <f t="shared" si="107"/>
        <v>0</v>
      </c>
      <c r="BE343" s="72">
        <f t="shared" si="107"/>
        <v>0</v>
      </c>
      <c r="BF343" s="72">
        <f t="shared" si="107"/>
        <v>0</v>
      </c>
      <c r="BG343" s="72">
        <f t="shared" si="107"/>
        <v>6.0000000000000005E-2</v>
      </c>
      <c r="BH343" s="149"/>
      <c r="BI343" s="58"/>
      <c r="BJ343" s="58"/>
      <c r="BK343" s="228"/>
      <c r="BL343" s="229"/>
      <c r="BM343" s="228"/>
    </row>
    <row r="344" spans="1:65" s="252" customFormat="1" ht="110.25" x14ac:dyDescent="0.25">
      <c r="A344" s="249">
        <f>A342+1</f>
        <v>224</v>
      </c>
      <c r="B344" s="216" t="s">
        <v>763</v>
      </c>
      <c r="C344" s="226" t="s">
        <v>71</v>
      </c>
      <c r="D344" s="243" t="s">
        <v>54</v>
      </c>
      <c r="E344" s="20">
        <f t="shared" si="105"/>
        <v>0.12000000000000001</v>
      </c>
      <c r="F344" s="150">
        <v>0.02</v>
      </c>
      <c r="G344" s="28">
        <f t="shared" si="106"/>
        <v>0.1</v>
      </c>
      <c r="H344" s="30">
        <v>0</v>
      </c>
      <c r="I344" s="30">
        <v>0</v>
      </c>
      <c r="J344" s="30">
        <v>0</v>
      </c>
      <c r="K344" s="30">
        <v>0</v>
      </c>
      <c r="L344" s="30">
        <v>0.03</v>
      </c>
      <c r="M344" s="30">
        <v>0</v>
      </c>
      <c r="N344" s="30">
        <v>0</v>
      </c>
      <c r="O344" s="30">
        <v>0</v>
      </c>
      <c r="P344" s="30">
        <v>0</v>
      </c>
      <c r="Q344" s="30">
        <v>0</v>
      </c>
      <c r="R344" s="30">
        <v>0</v>
      </c>
      <c r="S344" s="30">
        <v>0</v>
      </c>
      <c r="T344" s="30">
        <v>0</v>
      </c>
      <c r="U344" s="222">
        <v>0</v>
      </c>
      <c r="V344" s="30">
        <v>0</v>
      </c>
      <c r="W344" s="30">
        <v>0</v>
      </c>
      <c r="X344" s="30">
        <v>0</v>
      </c>
      <c r="Y344" s="30">
        <v>0</v>
      </c>
      <c r="Z344" s="30">
        <v>0</v>
      </c>
      <c r="AA344" s="30">
        <v>0</v>
      </c>
      <c r="AB344" s="30">
        <v>0</v>
      </c>
      <c r="AC344" s="30">
        <v>0</v>
      </c>
      <c r="AD344" s="30">
        <v>0</v>
      </c>
      <c r="AE344" s="30">
        <v>0</v>
      </c>
      <c r="AF344" s="30">
        <v>0</v>
      </c>
      <c r="AG344" s="30">
        <v>0</v>
      </c>
      <c r="AH344" s="30">
        <v>0</v>
      </c>
      <c r="AI344" s="30">
        <v>0</v>
      </c>
      <c r="AJ344" s="30">
        <v>0</v>
      </c>
      <c r="AK344" s="30">
        <v>0</v>
      </c>
      <c r="AL344" s="30">
        <v>0.02</v>
      </c>
      <c r="AM344" s="30">
        <v>0</v>
      </c>
      <c r="AN344" s="30">
        <v>0</v>
      </c>
      <c r="AO344" s="30">
        <v>0</v>
      </c>
      <c r="AP344" s="30">
        <v>0</v>
      </c>
      <c r="AQ344" s="30">
        <v>0</v>
      </c>
      <c r="AR344" s="30">
        <v>0</v>
      </c>
      <c r="AS344" s="30">
        <v>0</v>
      </c>
      <c r="AT344" s="30">
        <v>0.05</v>
      </c>
      <c r="AU344" s="30">
        <v>0</v>
      </c>
      <c r="AV344" s="30">
        <v>0</v>
      </c>
      <c r="AW344" s="30">
        <v>0</v>
      </c>
      <c r="AX344" s="30">
        <v>0</v>
      </c>
      <c r="AY344" s="30">
        <v>0</v>
      </c>
      <c r="AZ344" s="30">
        <v>0</v>
      </c>
      <c r="BA344" s="30">
        <v>0</v>
      </c>
      <c r="BB344" s="30">
        <v>0</v>
      </c>
      <c r="BC344" s="30">
        <v>0</v>
      </c>
      <c r="BD344" s="30">
        <v>0</v>
      </c>
      <c r="BE344" s="30">
        <v>0</v>
      </c>
      <c r="BF344" s="30">
        <v>0</v>
      </c>
      <c r="BG344" s="30">
        <v>0</v>
      </c>
      <c r="BH344" s="232" t="s">
        <v>764</v>
      </c>
      <c r="BI344" s="226" t="s">
        <v>71</v>
      </c>
      <c r="BJ344" s="226" t="s">
        <v>765</v>
      </c>
      <c r="BK344" s="233" t="s">
        <v>120</v>
      </c>
      <c r="BL344" s="218" t="s">
        <v>202</v>
      </c>
      <c r="BM344" s="226" t="s">
        <v>1028</v>
      </c>
    </row>
    <row r="345" spans="1:65" s="252" customFormat="1" ht="31.5" x14ac:dyDescent="0.25">
      <c r="A345" s="249">
        <f>A344+1</f>
        <v>225</v>
      </c>
      <c r="B345" s="216" t="s">
        <v>766</v>
      </c>
      <c r="C345" s="226" t="s">
        <v>79</v>
      </c>
      <c r="D345" s="238" t="s">
        <v>54</v>
      </c>
      <c r="E345" s="150">
        <f t="shared" si="105"/>
        <v>0.16000000000000003</v>
      </c>
      <c r="F345" s="30">
        <v>0.05</v>
      </c>
      <c r="G345" s="151">
        <f t="shared" si="106"/>
        <v>0.11000000000000001</v>
      </c>
      <c r="H345" s="30">
        <v>0.01</v>
      </c>
      <c r="I345" s="30">
        <v>0.01</v>
      </c>
      <c r="J345" s="30">
        <v>0</v>
      </c>
      <c r="K345" s="30">
        <v>0</v>
      </c>
      <c r="L345" s="30">
        <v>0.01</v>
      </c>
      <c r="M345" s="30">
        <v>0</v>
      </c>
      <c r="N345" s="30">
        <v>0</v>
      </c>
      <c r="O345" s="30">
        <v>0</v>
      </c>
      <c r="P345" s="30">
        <v>0</v>
      </c>
      <c r="Q345" s="30">
        <v>0</v>
      </c>
      <c r="R345" s="30">
        <v>0</v>
      </c>
      <c r="S345" s="30">
        <v>0</v>
      </c>
      <c r="T345" s="30">
        <v>0</v>
      </c>
      <c r="U345" s="222">
        <v>0</v>
      </c>
      <c r="V345" s="30">
        <v>0</v>
      </c>
      <c r="W345" s="30">
        <v>0</v>
      </c>
      <c r="X345" s="30">
        <v>0</v>
      </c>
      <c r="Y345" s="30">
        <v>0</v>
      </c>
      <c r="Z345" s="30">
        <v>0</v>
      </c>
      <c r="AA345" s="30">
        <v>0</v>
      </c>
      <c r="AB345" s="30">
        <v>0</v>
      </c>
      <c r="AC345" s="30">
        <v>0</v>
      </c>
      <c r="AD345" s="30">
        <v>0</v>
      </c>
      <c r="AE345" s="30">
        <v>0</v>
      </c>
      <c r="AF345" s="30">
        <v>0.04</v>
      </c>
      <c r="AG345" s="30">
        <v>0</v>
      </c>
      <c r="AH345" s="30">
        <v>0</v>
      </c>
      <c r="AI345" s="30">
        <v>0</v>
      </c>
      <c r="AJ345" s="30">
        <v>0</v>
      </c>
      <c r="AK345" s="30">
        <v>0</v>
      </c>
      <c r="AL345" s="30">
        <v>0</v>
      </c>
      <c r="AM345" s="30">
        <v>0</v>
      </c>
      <c r="AN345" s="30">
        <v>0</v>
      </c>
      <c r="AO345" s="30">
        <v>0</v>
      </c>
      <c r="AP345" s="30">
        <v>0</v>
      </c>
      <c r="AQ345" s="30">
        <v>0</v>
      </c>
      <c r="AR345" s="30">
        <v>0</v>
      </c>
      <c r="AS345" s="30">
        <v>0</v>
      </c>
      <c r="AT345" s="30">
        <v>0</v>
      </c>
      <c r="AU345" s="30">
        <v>0</v>
      </c>
      <c r="AV345" s="30">
        <v>0</v>
      </c>
      <c r="AW345" s="30">
        <v>0</v>
      </c>
      <c r="AX345" s="30">
        <v>0</v>
      </c>
      <c r="AY345" s="30">
        <v>0</v>
      </c>
      <c r="AZ345" s="30">
        <v>0</v>
      </c>
      <c r="BA345" s="30">
        <v>0</v>
      </c>
      <c r="BB345" s="30">
        <v>0</v>
      </c>
      <c r="BC345" s="30">
        <v>0</v>
      </c>
      <c r="BD345" s="30">
        <v>0</v>
      </c>
      <c r="BE345" s="30">
        <v>0</v>
      </c>
      <c r="BF345" s="30">
        <v>0</v>
      </c>
      <c r="BG345" s="30">
        <v>0.04</v>
      </c>
      <c r="BH345" s="232" t="s">
        <v>767</v>
      </c>
      <c r="BI345" s="226" t="s">
        <v>79</v>
      </c>
      <c r="BJ345" s="226" t="s">
        <v>768</v>
      </c>
      <c r="BK345" s="233">
        <v>2023</v>
      </c>
      <c r="BL345" s="218" t="s">
        <v>202</v>
      </c>
      <c r="BM345" s="226" t="s">
        <v>1026</v>
      </c>
    </row>
    <row r="346" spans="1:65" s="253" customFormat="1" ht="31.5" x14ac:dyDescent="0.25">
      <c r="A346" s="249">
        <f>A345+1</f>
        <v>226</v>
      </c>
      <c r="B346" s="143" t="s">
        <v>769</v>
      </c>
      <c r="C346" s="238" t="s">
        <v>82</v>
      </c>
      <c r="D346" s="238" t="s">
        <v>54</v>
      </c>
      <c r="E346" s="20">
        <f t="shared" si="105"/>
        <v>0.02</v>
      </c>
      <c r="F346" s="73"/>
      <c r="G346" s="28">
        <f t="shared" si="106"/>
        <v>0.02</v>
      </c>
      <c r="H346" s="238"/>
      <c r="I346" s="238"/>
      <c r="J346" s="238"/>
      <c r="K346" s="238">
        <v>0.02</v>
      </c>
      <c r="L346" s="238"/>
      <c r="M346" s="238"/>
      <c r="N346" s="238"/>
      <c r="O346" s="238"/>
      <c r="P346" s="238"/>
      <c r="Q346" s="238"/>
      <c r="R346" s="238"/>
      <c r="S346" s="238"/>
      <c r="T346" s="238"/>
      <c r="U346" s="240"/>
      <c r="V346" s="238"/>
      <c r="W346" s="238"/>
      <c r="X346" s="238"/>
      <c r="Y346" s="238"/>
      <c r="Z346" s="238"/>
      <c r="AA346" s="238"/>
      <c r="AB346" s="238"/>
      <c r="AC346" s="238"/>
      <c r="AD346" s="238"/>
      <c r="AE346" s="238"/>
      <c r="AF346" s="238"/>
      <c r="AG346" s="238"/>
      <c r="AH346" s="238"/>
      <c r="AI346" s="238"/>
      <c r="AJ346" s="238"/>
      <c r="AK346" s="238"/>
      <c r="AL346" s="238"/>
      <c r="AM346" s="238"/>
      <c r="AN346" s="238"/>
      <c r="AO346" s="238"/>
      <c r="AP346" s="238"/>
      <c r="AQ346" s="238"/>
      <c r="AR346" s="238"/>
      <c r="AS346" s="238"/>
      <c r="AT346" s="238"/>
      <c r="AU346" s="238"/>
      <c r="AV346" s="238"/>
      <c r="AW346" s="238"/>
      <c r="AX346" s="238"/>
      <c r="AY346" s="238"/>
      <c r="AZ346" s="238"/>
      <c r="BA346" s="238"/>
      <c r="BB346" s="238"/>
      <c r="BC346" s="238"/>
      <c r="BD346" s="238"/>
      <c r="BE346" s="238"/>
      <c r="BF346" s="238"/>
      <c r="BG346" s="238"/>
      <c r="BH346" s="238" t="s">
        <v>770</v>
      </c>
      <c r="BI346" s="238" t="s">
        <v>82</v>
      </c>
      <c r="BJ346" s="238" t="s">
        <v>771</v>
      </c>
      <c r="BK346" s="233" t="s">
        <v>120</v>
      </c>
      <c r="BL346" s="218" t="s">
        <v>202</v>
      </c>
      <c r="BM346" s="226" t="s">
        <v>1026</v>
      </c>
    </row>
    <row r="347" spans="1:65" s="252" customFormat="1" ht="31.5" x14ac:dyDescent="0.25">
      <c r="A347" s="249">
        <f t="shared" ref="A347:A359" si="108">A346+1</f>
        <v>227</v>
      </c>
      <c r="B347" s="216" t="s">
        <v>772</v>
      </c>
      <c r="C347" s="222" t="s">
        <v>87</v>
      </c>
      <c r="D347" s="238" t="s">
        <v>54</v>
      </c>
      <c r="E347" s="20">
        <f t="shared" si="105"/>
        <v>0.1</v>
      </c>
      <c r="F347" s="73">
        <v>0.02</v>
      </c>
      <c r="G347" s="28">
        <f t="shared" si="106"/>
        <v>0.08</v>
      </c>
      <c r="H347" s="30"/>
      <c r="I347" s="30"/>
      <c r="J347" s="30"/>
      <c r="K347" s="30"/>
      <c r="L347" s="30"/>
      <c r="M347" s="30"/>
      <c r="N347" s="30"/>
      <c r="O347" s="30"/>
      <c r="P347" s="30"/>
      <c r="Q347" s="30"/>
      <c r="R347" s="30"/>
      <c r="S347" s="30"/>
      <c r="T347" s="30"/>
      <c r="U347" s="222">
        <f>SUM(V347:X347)</f>
        <v>0.08</v>
      </c>
      <c r="V347" s="30">
        <v>0.08</v>
      </c>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222" t="s">
        <v>773</v>
      </c>
      <c r="BI347" s="222" t="s">
        <v>87</v>
      </c>
      <c r="BJ347" s="222" t="s">
        <v>774</v>
      </c>
      <c r="BK347" s="233" t="s">
        <v>120</v>
      </c>
      <c r="BL347" s="218" t="s">
        <v>202</v>
      </c>
      <c r="BM347" s="226" t="s">
        <v>1026</v>
      </c>
    </row>
    <row r="348" spans="1:65" s="252" customFormat="1" ht="47.25" x14ac:dyDescent="0.25">
      <c r="A348" s="249">
        <f t="shared" si="108"/>
        <v>228</v>
      </c>
      <c r="B348" s="216" t="s">
        <v>775</v>
      </c>
      <c r="C348" s="238" t="s">
        <v>134</v>
      </c>
      <c r="D348" s="238" t="s">
        <v>54</v>
      </c>
      <c r="E348" s="78">
        <f t="shared" si="105"/>
        <v>0.14000000000000001</v>
      </c>
      <c r="F348" s="73">
        <v>0.06</v>
      </c>
      <c r="G348" s="28">
        <f t="shared" si="106"/>
        <v>0.08</v>
      </c>
      <c r="H348" s="30">
        <v>0.02</v>
      </c>
      <c r="I348" s="30">
        <v>0</v>
      </c>
      <c r="J348" s="30">
        <v>0</v>
      </c>
      <c r="K348" s="30">
        <v>0.01</v>
      </c>
      <c r="L348" s="30">
        <v>0</v>
      </c>
      <c r="M348" s="30">
        <v>0</v>
      </c>
      <c r="N348" s="30">
        <v>0</v>
      </c>
      <c r="O348" s="30">
        <v>0</v>
      </c>
      <c r="P348" s="30">
        <v>0</v>
      </c>
      <c r="Q348" s="30">
        <v>0</v>
      </c>
      <c r="R348" s="30">
        <v>0</v>
      </c>
      <c r="S348" s="30">
        <v>0</v>
      </c>
      <c r="T348" s="30">
        <v>0</v>
      </c>
      <c r="U348" s="222">
        <v>0.05</v>
      </c>
      <c r="V348" s="30">
        <v>0.05</v>
      </c>
      <c r="W348" s="30">
        <v>0</v>
      </c>
      <c r="X348" s="30">
        <v>0</v>
      </c>
      <c r="Y348" s="30">
        <v>0</v>
      </c>
      <c r="Z348" s="30">
        <v>0</v>
      </c>
      <c r="AA348" s="30">
        <v>0</v>
      </c>
      <c r="AB348" s="30">
        <v>0</v>
      </c>
      <c r="AC348" s="30">
        <v>0</v>
      </c>
      <c r="AD348" s="30">
        <v>0</v>
      </c>
      <c r="AE348" s="30">
        <v>0</v>
      </c>
      <c r="AF348" s="30">
        <v>0</v>
      </c>
      <c r="AG348" s="30">
        <v>0</v>
      </c>
      <c r="AH348" s="30">
        <v>0</v>
      </c>
      <c r="AI348" s="30">
        <v>0</v>
      </c>
      <c r="AJ348" s="30">
        <v>0</v>
      </c>
      <c r="AK348" s="30">
        <v>0</v>
      </c>
      <c r="AL348" s="30">
        <v>0</v>
      </c>
      <c r="AM348" s="30">
        <v>0</v>
      </c>
      <c r="AN348" s="30">
        <v>0</v>
      </c>
      <c r="AO348" s="30">
        <v>0</v>
      </c>
      <c r="AP348" s="30">
        <v>0</v>
      </c>
      <c r="AQ348" s="30">
        <v>0</v>
      </c>
      <c r="AR348" s="30">
        <v>0</v>
      </c>
      <c r="AS348" s="30">
        <v>0</v>
      </c>
      <c r="AT348" s="30">
        <v>0</v>
      </c>
      <c r="AU348" s="30">
        <v>0</v>
      </c>
      <c r="AV348" s="30">
        <v>0</v>
      </c>
      <c r="AW348" s="30">
        <v>0</v>
      </c>
      <c r="AX348" s="30">
        <v>0</v>
      </c>
      <c r="AY348" s="30">
        <v>0</v>
      </c>
      <c r="AZ348" s="30">
        <v>0</v>
      </c>
      <c r="BA348" s="30">
        <v>0</v>
      </c>
      <c r="BB348" s="30">
        <v>0</v>
      </c>
      <c r="BC348" s="30">
        <v>0</v>
      </c>
      <c r="BD348" s="30">
        <v>0</v>
      </c>
      <c r="BE348" s="30">
        <v>0</v>
      </c>
      <c r="BF348" s="30">
        <v>0</v>
      </c>
      <c r="BG348" s="30">
        <v>0</v>
      </c>
      <c r="BH348" s="238" t="s">
        <v>776</v>
      </c>
      <c r="BI348" s="238" t="s">
        <v>134</v>
      </c>
      <c r="BJ348" s="238" t="s">
        <v>777</v>
      </c>
      <c r="BK348" s="233" t="s">
        <v>120</v>
      </c>
      <c r="BL348" s="218" t="s">
        <v>202</v>
      </c>
      <c r="BM348" s="226" t="s">
        <v>1026</v>
      </c>
    </row>
    <row r="349" spans="1:65" s="252" customFormat="1" ht="181.5" customHeight="1" x14ac:dyDescent="0.25">
      <c r="A349" s="249">
        <f t="shared" si="108"/>
        <v>229</v>
      </c>
      <c r="B349" s="216" t="s">
        <v>778</v>
      </c>
      <c r="C349" s="238" t="s">
        <v>91</v>
      </c>
      <c r="D349" s="238" t="s">
        <v>54</v>
      </c>
      <c r="E349" s="78">
        <f t="shared" si="105"/>
        <v>0.23</v>
      </c>
      <c r="F349" s="73"/>
      <c r="G349" s="28">
        <f t="shared" si="106"/>
        <v>0.23</v>
      </c>
      <c r="H349" s="30">
        <v>0</v>
      </c>
      <c r="I349" s="30">
        <v>0</v>
      </c>
      <c r="J349" s="30">
        <v>0</v>
      </c>
      <c r="K349" s="30">
        <v>0</v>
      </c>
      <c r="L349" s="30">
        <v>0</v>
      </c>
      <c r="M349" s="30">
        <v>0</v>
      </c>
      <c r="N349" s="30">
        <v>0</v>
      </c>
      <c r="O349" s="30">
        <v>0</v>
      </c>
      <c r="P349" s="30">
        <v>0</v>
      </c>
      <c r="Q349" s="30">
        <v>0</v>
      </c>
      <c r="R349" s="30">
        <v>0</v>
      </c>
      <c r="S349" s="30">
        <v>0</v>
      </c>
      <c r="T349" s="30">
        <v>0</v>
      </c>
      <c r="U349" s="222">
        <v>7.0000000000000007E-2</v>
      </c>
      <c r="V349" s="30">
        <v>7.0000000000000007E-2</v>
      </c>
      <c r="W349" s="30">
        <v>0</v>
      </c>
      <c r="X349" s="30">
        <v>0</v>
      </c>
      <c r="Y349" s="30">
        <v>0</v>
      </c>
      <c r="Z349" s="30">
        <v>0</v>
      </c>
      <c r="AA349" s="30">
        <v>0</v>
      </c>
      <c r="AB349" s="30">
        <v>0</v>
      </c>
      <c r="AC349" s="30">
        <v>0</v>
      </c>
      <c r="AD349" s="30">
        <v>0</v>
      </c>
      <c r="AE349" s="30">
        <v>0</v>
      </c>
      <c r="AF349" s="30">
        <v>0</v>
      </c>
      <c r="AG349" s="30">
        <v>0</v>
      </c>
      <c r="AH349" s="30">
        <v>0</v>
      </c>
      <c r="AI349" s="30">
        <v>0</v>
      </c>
      <c r="AJ349" s="30">
        <v>0</v>
      </c>
      <c r="AK349" s="30">
        <v>0.04</v>
      </c>
      <c r="AL349" s="30">
        <v>0.1</v>
      </c>
      <c r="AM349" s="30">
        <v>0</v>
      </c>
      <c r="AN349" s="30">
        <v>0</v>
      </c>
      <c r="AO349" s="30">
        <v>0</v>
      </c>
      <c r="AP349" s="30">
        <v>0</v>
      </c>
      <c r="AQ349" s="30">
        <v>0</v>
      </c>
      <c r="AR349" s="30">
        <v>0</v>
      </c>
      <c r="AS349" s="30">
        <v>0</v>
      </c>
      <c r="AT349" s="30">
        <v>0.02</v>
      </c>
      <c r="AU349" s="30">
        <v>0</v>
      </c>
      <c r="AV349" s="30">
        <v>0</v>
      </c>
      <c r="AW349" s="30">
        <v>0</v>
      </c>
      <c r="AX349" s="30">
        <v>0</v>
      </c>
      <c r="AY349" s="30">
        <v>0</v>
      </c>
      <c r="AZ349" s="30">
        <v>0</v>
      </c>
      <c r="BA349" s="30">
        <v>0</v>
      </c>
      <c r="BB349" s="30">
        <v>0</v>
      </c>
      <c r="BC349" s="30">
        <v>0</v>
      </c>
      <c r="BD349" s="30">
        <v>0</v>
      </c>
      <c r="BE349" s="30">
        <v>0</v>
      </c>
      <c r="BF349" s="30">
        <v>0</v>
      </c>
      <c r="BG349" s="30">
        <v>0</v>
      </c>
      <c r="BH349" s="238" t="s">
        <v>779</v>
      </c>
      <c r="BI349" s="238" t="s">
        <v>91</v>
      </c>
      <c r="BJ349" s="226" t="s">
        <v>1014</v>
      </c>
      <c r="BK349" s="233" t="s">
        <v>120</v>
      </c>
      <c r="BL349" s="218" t="s">
        <v>202</v>
      </c>
      <c r="BM349" s="226" t="s">
        <v>1029</v>
      </c>
    </row>
    <row r="350" spans="1:65" s="252" customFormat="1" ht="157.5" x14ac:dyDescent="0.25">
      <c r="A350" s="249">
        <f t="shared" si="108"/>
        <v>230</v>
      </c>
      <c r="B350" s="216" t="s">
        <v>780</v>
      </c>
      <c r="C350" s="238" t="s">
        <v>122</v>
      </c>
      <c r="D350" s="238" t="s">
        <v>54</v>
      </c>
      <c r="E350" s="20">
        <f t="shared" si="105"/>
        <v>0.49000000000000005</v>
      </c>
      <c r="F350" s="21">
        <v>0.2</v>
      </c>
      <c r="G350" s="28">
        <f>SUM(H350:M350,Q350,U350,Y350:BG350)</f>
        <v>0.29000000000000004</v>
      </c>
      <c r="H350" s="150">
        <v>0</v>
      </c>
      <c r="I350" s="150">
        <v>0</v>
      </c>
      <c r="J350" s="150">
        <v>0</v>
      </c>
      <c r="K350" s="150">
        <v>0.11</v>
      </c>
      <c r="L350" s="150">
        <v>0.11</v>
      </c>
      <c r="M350" s="150">
        <v>0</v>
      </c>
      <c r="N350" s="150">
        <v>0</v>
      </c>
      <c r="O350" s="150">
        <v>0</v>
      </c>
      <c r="P350" s="150">
        <v>0</v>
      </c>
      <c r="Q350" s="150">
        <v>0</v>
      </c>
      <c r="R350" s="150">
        <v>0</v>
      </c>
      <c r="S350" s="150">
        <v>0</v>
      </c>
      <c r="T350" s="150">
        <v>0</v>
      </c>
      <c r="U350" s="92">
        <v>0.04</v>
      </c>
      <c r="V350" s="150">
        <v>0.04</v>
      </c>
      <c r="W350" s="150">
        <v>0</v>
      </c>
      <c r="X350" s="150">
        <v>0</v>
      </c>
      <c r="Y350" s="150">
        <v>0</v>
      </c>
      <c r="Z350" s="150">
        <v>0</v>
      </c>
      <c r="AA350" s="150">
        <v>0</v>
      </c>
      <c r="AB350" s="150">
        <v>0</v>
      </c>
      <c r="AC350" s="150">
        <v>0</v>
      </c>
      <c r="AD350" s="150">
        <v>0</v>
      </c>
      <c r="AE350" s="150">
        <v>0</v>
      </c>
      <c r="AF350" s="150">
        <v>0</v>
      </c>
      <c r="AG350" s="150">
        <v>0</v>
      </c>
      <c r="AH350" s="150">
        <v>0</v>
      </c>
      <c r="AI350" s="150">
        <v>0</v>
      </c>
      <c r="AJ350" s="150">
        <v>0</v>
      </c>
      <c r="AK350" s="150">
        <v>0</v>
      </c>
      <c r="AL350" s="150">
        <v>0.03</v>
      </c>
      <c r="AM350" s="150">
        <v>0</v>
      </c>
      <c r="AN350" s="150">
        <v>0</v>
      </c>
      <c r="AO350" s="150">
        <v>0</v>
      </c>
      <c r="AP350" s="150">
        <v>0</v>
      </c>
      <c r="AQ350" s="150">
        <v>0</v>
      </c>
      <c r="AR350" s="150">
        <v>0</v>
      </c>
      <c r="AS350" s="150">
        <v>0</v>
      </c>
      <c r="AT350" s="150">
        <v>0</v>
      </c>
      <c r="AU350" s="150">
        <v>0</v>
      </c>
      <c r="AV350" s="150">
        <v>0</v>
      </c>
      <c r="AW350" s="150">
        <v>0</v>
      </c>
      <c r="AX350" s="150">
        <v>0</v>
      </c>
      <c r="AY350" s="150">
        <v>0</v>
      </c>
      <c r="AZ350" s="150">
        <v>0</v>
      </c>
      <c r="BA350" s="150">
        <v>0</v>
      </c>
      <c r="BB350" s="150">
        <v>0</v>
      </c>
      <c r="BC350" s="150">
        <v>0</v>
      </c>
      <c r="BD350" s="150">
        <v>0</v>
      </c>
      <c r="BE350" s="150">
        <v>0</v>
      </c>
      <c r="BF350" s="150">
        <v>0</v>
      </c>
      <c r="BG350" s="150">
        <v>0</v>
      </c>
      <c r="BH350" s="238" t="s">
        <v>781</v>
      </c>
      <c r="BI350" s="238" t="s">
        <v>122</v>
      </c>
      <c r="BJ350" s="238" t="s">
        <v>782</v>
      </c>
      <c r="BK350" s="233" t="s">
        <v>1065</v>
      </c>
      <c r="BL350" s="218" t="s">
        <v>202</v>
      </c>
      <c r="BM350" s="226" t="s">
        <v>1030</v>
      </c>
    </row>
    <row r="351" spans="1:65" s="253" customFormat="1" ht="47.25" x14ac:dyDescent="0.25">
      <c r="A351" s="249">
        <f t="shared" si="108"/>
        <v>231</v>
      </c>
      <c r="B351" s="216" t="s">
        <v>783</v>
      </c>
      <c r="C351" s="238" t="s">
        <v>138</v>
      </c>
      <c r="D351" s="238" t="s">
        <v>54</v>
      </c>
      <c r="E351" s="20">
        <f t="shared" si="105"/>
        <v>0.28999999999999998</v>
      </c>
      <c r="F351" s="21">
        <v>0.04</v>
      </c>
      <c r="G351" s="28">
        <f>SUM(H351:M351,Q351,U351,Y351:BG351)</f>
        <v>0.25</v>
      </c>
      <c r="H351" s="222">
        <v>0</v>
      </c>
      <c r="I351" s="222">
        <v>0</v>
      </c>
      <c r="J351" s="222">
        <v>0</v>
      </c>
      <c r="K351" s="222">
        <v>0</v>
      </c>
      <c r="L351" s="222">
        <v>0.06</v>
      </c>
      <c r="M351" s="222">
        <v>0</v>
      </c>
      <c r="N351" s="222">
        <v>0</v>
      </c>
      <c r="O351" s="222">
        <v>0</v>
      </c>
      <c r="P351" s="222">
        <v>0</v>
      </c>
      <c r="Q351" s="222">
        <v>0</v>
      </c>
      <c r="R351" s="222">
        <v>0</v>
      </c>
      <c r="S351" s="222">
        <v>0</v>
      </c>
      <c r="T351" s="222">
        <v>0</v>
      </c>
      <c r="U351" s="222">
        <v>0</v>
      </c>
      <c r="V351" s="222">
        <v>0</v>
      </c>
      <c r="W351" s="222">
        <v>0</v>
      </c>
      <c r="X351" s="222">
        <v>0</v>
      </c>
      <c r="Y351" s="222">
        <v>0</v>
      </c>
      <c r="Z351" s="222">
        <v>0</v>
      </c>
      <c r="AA351" s="222">
        <v>0</v>
      </c>
      <c r="AB351" s="222">
        <v>0</v>
      </c>
      <c r="AC351" s="222">
        <v>0</v>
      </c>
      <c r="AD351" s="222">
        <v>0</v>
      </c>
      <c r="AE351" s="222">
        <v>0</v>
      </c>
      <c r="AF351" s="222">
        <v>0</v>
      </c>
      <c r="AG351" s="222">
        <v>0</v>
      </c>
      <c r="AH351" s="222">
        <v>0</v>
      </c>
      <c r="AI351" s="222">
        <v>0</v>
      </c>
      <c r="AJ351" s="222">
        <v>0</v>
      </c>
      <c r="AK351" s="222">
        <v>0</v>
      </c>
      <c r="AL351" s="222">
        <v>0.13</v>
      </c>
      <c r="AM351" s="222">
        <v>0</v>
      </c>
      <c r="AN351" s="222">
        <v>0</v>
      </c>
      <c r="AO351" s="222">
        <v>0</v>
      </c>
      <c r="AP351" s="222">
        <v>0</v>
      </c>
      <c r="AQ351" s="222">
        <v>0</v>
      </c>
      <c r="AR351" s="222">
        <v>0</v>
      </c>
      <c r="AS351" s="222">
        <v>0</v>
      </c>
      <c r="AT351" s="222">
        <v>0</v>
      </c>
      <c r="AU351" s="222">
        <v>0</v>
      </c>
      <c r="AV351" s="222">
        <v>0.06</v>
      </c>
      <c r="AW351" s="222">
        <v>0</v>
      </c>
      <c r="AX351" s="222">
        <v>0</v>
      </c>
      <c r="AY351" s="222">
        <v>0</v>
      </c>
      <c r="AZ351" s="222">
        <v>0</v>
      </c>
      <c r="BA351" s="222">
        <v>0</v>
      </c>
      <c r="BB351" s="222">
        <v>0</v>
      </c>
      <c r="BC351" s="222">
        <v>0</v>
      </c>
      <c r="BD351" s="222">
        <v>0</v>
      </c>
      <c r="BE351" s="222">
        <v>0</v>
      </c>
      <c r="BF351" s="222">
        <v>0</v>
      </c>
      <c r="BG351" s="222">
        <v>0</v>
      </c>
      <c r="BH351" s="238" t="s">
        <v>1102</v>
      </c>
      <c r="BI351" s="238" t="s">
        <v>138</v>
      </c>
      <c r="BJ351" s="238" t="s">
        <v>784</v>
      </c>
      <c r="BK351" s="233" t="s">
        <v>120</v>
      </c>
      <c r="BL351" s="218" t="s">
        <v>202</v>
      </c>
      <c r="BM351" s="226" t="s">
        <v>1026</v>
      </c>
    </row>
    <row r="352" spans="1:65" s="253" customFormat="1" ht="31.5" x14ac:dyDescent="0.25">
      <c r="A352" s="249">
        <f t="shared" si="108"/>
        <v>232</v>
      </c>
      <c r="B352" s="216" t="s">
        <v>785</v>
      </c>
      <c r="C352" s="226" t="s">
        <v>142</v>
      </c>
      <c r="D352" s="238" t="s">
        <v>54</v>
      </c>
      <c r="E352" s="20">
        <f t="shared" si="105"/>
        <v>0.12</v>
      </c>
      <c r="F352" s="73">
        <v>0.02</v>
      </c>
      <c r="G352" s="28">
        <f t="shared" si="106"/>
        <v>9.9999999999999992E-2</v>
      </c>
      <c r="H352" s="238">
        <v>0</v>
      </c>
      <c r="I352" s="238">
        <v>0</v>
      </c>
      <c r="J352" s="238">
        <v>0</v>
      </c>
      <c r="K352" s="238">
        <v>0</v>
      </c>
      <c r="L352" s="238">
        <v>0.05</v>
      </c>
      <c r="M352" s="238">
        <v>0</v>
      </c>
      <c r="N352" s="238">
        <v>0</v>
      </c>
      <c r="O352" s="238">
        <v>0</v>
      </c>
      <c r="P352" s="238">
        <v>0</v>
      </c>
      <c r="Q352" s="238">
        <v>0</v>
      </c>
      <c r="R352" s="238">
        <v>0</v>
      </c>
      <c r="S352" s="238">
        <v>0</v>
      </c>
      <c r="T352" s="238">
        <v>0</v>
      </c>
      <c r="U352" s="238">
        <v>0.04</v>
      </c>
      <c r="V352" s="238">
        <v>0.04</v>
      </c>
      <c r="W352" s="238">
        <v>0</v>
      </c>
      <c r="X352" s="238">
        <v>0</v>
      </c>
      <c r="Y352" s="238">
        <v>0</v>
      </c>
      <c r="Z352" s="238">
        <v>0</v>
      </c>
      <c r="AA352" s="238">
        <v>0</v>
      </c>
      <c r="AB352" s="238">
        <v>0</v>
      </c>
      <c r="AC352" s="238">
        <v>0</v>
      </c>
      <c r="AD352" s="238">
        <v>0</v>
      </c>
      <c r="AE352" s="238">
        <v>0</v>
      </c>
      <c r="AF352" s="238">
        <v>0</v>
      </c>
      <c r="AG352" s="238">
        <v>0</v>
      </c>
      <c r="AH352" s="238">
        <v>0</v>
      </c>
      <c r="AI352" s="238">
        <v>0</v>
      </c>
      <c r="AJ352" s="238">
        <v>0</v>
      </c>
      <c r="AK352" s="238">
        <v>0</v>
      </c>
      <c r="AL352" s="238">
        <v>0</v>
      </c>
      <c r="AM352" s="238">
        <v>0</v>
      </c>
      <c r="AN352" s="238">
        <v>0</v>
      </c>
      <c r="AO352" s="238">
        <v>0</v>
      </c>
      <c r="AP352" s="238">
        <v>0</v>
      </c>
      <c r="AQ352" s="238">
        <v>0</v>
      </c>
      <c r="AR352" s="238">
        <v>0</v>
      </c>
      <c r="AS352" s="238">
        <v>0</v>
      </c>
      <c r="AT352" s="238">
        <v>0.01</v>
      </c>
      <c r="AU352" s="238">
        <v>0</v>
      </c>
      <c r="AV352" s="238">
        <v>0</v>
      </c>
      <c r="AW352" s="238">
        <v>0</v>
      </c>
      <c r="AX352" s="238">
        <v>0</v>
      </c>
      <c r="AY352" s="238">
        <v>0</v>
      </c>
      <c r="AZ352" s="238">
        <v>0</v>
      </c>
      <c r="BA352" s="238">
        <v>0</v>
      </c>
      <c r="BB352" s="238">
        <v>0</v>
      </c>
      <c r="BC352" s="238">
        <v>0</v>
      </c>
      <c r="BD352" s="238">
        <v>0</v>
      </c>
      <c r="BE352" s="238">
        <v>0</v>
      </c>
      <c r="BF352" s="238">
        <v>0</v>
      </c>
      <c r="BG352" s="238">
        <v>0</v>
      </c>
      <c r="BH352" s="238" t="s">
        <v>786</v>
      </c>
      <c r="BI352" s="226" t="s">
        <v>142</v>
      </c>
      <c r="BJ352" s="226" t="s">
        <v>787</v>
      </c>
      <c r="BK352" s="241" t="s">
        <v>68</v>
      </c>
      <c r="BL352" s="218" t="s">
        <v>202</v>
      </c>
      <c r="BM352" s="226" t="s">
        <v>1026</v>
      </c>
    </row>
    <row r="353" spans="1:240" s="252" customFormat="1" ht="31.5" x14ac:dyDescent="0.25">
      <c r="A353" s="249">
        <f t="shared" si="108"/>
        <v>233</v>
      </c>
      <c r="B353" s="216" t="s">
        <v>1018</v>
      </c>
      <c r="C353" s="238" t="s">
        <v>95</v>
      </c>
      <c r="D353" s="238" t="s">
        <v>54</v>
      </c>
      <c r="E353" s="20">
        <f t="shared" si="105"/>
        <v>0.04</v>
      </c>
      <c r="F353" s="73">
        <v>0.01</v>
      </c>
      <c r="G353" s="28">
        <f t="shared" si="106"/>
        <v>0.03</v>
      </c>
      <c r="H353" s="238"/>
      <c r="I353" s="238"/>
      <c r="J353" s="238"/>
      <c r="K353" s="238">
        <v>0.03</v>
      </c>
      <c r="L353" s="238"/>
      <c r="M353" s="238">
        <f>SUM(N353:P353)</f>
        <v>0</v>
      </c>
      <c r="N353" s="238"/>
      <c r="O353" s="238"/>
      <c r="P353" s="238"/>
      <c r="Q353" s="238"/>
      <c r="R353" s="238"/>
      <c r="S353" s="238"/>
      <c r="T353" s="238"/>
      <c r="U353" s="238">
        <f>SUM(V353:X353)</f>
        <v>0</v>
      </c>
      <c r="V353" s="238"/>
      <c r="W353" s="238"/>
      <c r="X353" s="247"/>
      <c r="Y353" s="247"/>
      <c r="Z353" s="238"/>
      <c r="AA353" s="238"/>
      <c r="AB353" s="238"/>
      <c r="AC353" s="238"/>
      <c r="AD353" s="247"/>
      <c r="AE353" s="247"/>
      <c r="AF353" s="247"/>
      <c r="AG353" s="238"/>
      <c r="AH353" s="238"/>
      <c r="AI353" s="238"/>
      <c r="AJ353" s="238"/>
      <c r="AK353" s="238"/>
      <c r="AL353" s="238"/>
      <c r="AM353" s="238"/>
      <c r="AN353" s="238"/>
      <c r="AO353" s="238"/>
      <c r="AP353" s="238"/>
      <c r="AQ353" s="238"/>
      <c r="AR353" s="238"/>
      <c r="AS353" s="238"/>
      <c r="AT353" s="238"/>
      <c r="AU353" s="247"/>
      <c r="AV353" s="247"/>
      <c r="AW353" s="238"/>
      <c r="AX353" s="247"/>
      <c r="AY353" s="238"/>
      <c r="AZ353" s="238"/>
      <c r="BA353" s="238"/>
      <c r="BB353" s="247"/>
      <c r="BC353" s="238"/>
      <c r="BD353" s="247"/>
      <c r="BE353" s="247"/>
      <c r="BF353" s="238"/>
      <c r="BG353" s="247"/>
      <c r="BH353" s="238" t="s">
        <v>788</v>
      </c>
      <c r="BI353" s="238" t="s">
        <v>95</v>
      </c>
      <c r="BJ353" s="238" t="s">
        <v>789</v>
      </c>
      <c r="BK353" s="233" t="s">
        <v>120</v>
      </c>
      <c r="BL353" s="218" t="s">
        <v>202</v>
      </c>
      <c r="BM353" s="226" t="s">
        <v>1026</v>
      </c>
      <c r="BN353" s="253"/>
      <c r="BO353" s="253"/>
      <c r="BP353" s="253"/>
      <c r="BQ353" s="253"/>
      <c r="BR353" s="253"/>
      <c r="BS353" s="253"/>
      <c r="BT353" s="253"/>
      <c r="BU353" s="253"/>
      <c r="BV353" s="253"/>
      <c r="BW353" s="253"/>
      <c r="BX353" s="253"/>
      <c r="BY353" s="253"/>
      <c r="BZ353" s="253"/>
      <c r="CA353" s="253"/>
      <c r="CB353" s="253"/>
      <c r="CC353" s="253"/>
      <c r="CD353" s="253"/>
      <c r="CE353" s="253"/>
      <c r="CF353" s="253"/>
      <c r="CG353" s="253"/>
      <c r="CH353" s="253"/>
      <c r="CI353" s="253"/>
      <c r="CJ353" s="253"/>
      <c r="CK353" s="253"/>
      <c r="CL353" s="253"/>
      <c r="CM353" s="253"/>
      <c r="CN353" s="253"/>
      <c r="CO353" s="253"/>
      <c r="CP353" s="253"/>
      <c r="CQ353" s="253"/>
      <c r="CR353" s="253"/>
      <c r="CS353" s="253"/>
      <c r="CT353" s="253"/>
      <c r="CU353" s="253"/>
      <c r="CV353" s="253"/>
      <c r="CW353" s="253"/>
      <c r="CX353" s="253"/>
      <c r="CY353" s="253"/>
      <c r="CZ353" s="253"/>
      <c r="DA353" s="253"/>
      <c r="DB353" s="253"/>
      <c r="DC353" s="253"/>
      <c r="DD353" s="253"/>
      <c r="DE353" s="253"/>
      <c r="DF353" s="253"/>
      <c r="DG353" s="253"/>
      <c r="DH353" s="253"/>
      <c r="DI353" s="253"/>
      <c r="DJ353" s="253"/>
      <c r="DK353" s="253"/>
      <c r="DL353" s="253"/>
      <c r="DM353" s="253"/>
      <c r="DN353" s="253"/>
      <c r="DO353" s="253"/>
      <c r="DP353" s="253"/>
      <c r="DQ353" s="253"/>
      <c r="DR353" s="253"/>
      <c r="DS353" s="253"/>
      <c r="DT353" s="253"/>
      <c r="DU353" s="253"/>
      <c r="DV353" s="253"/>
      <c r="DW353" s="253"/>
      <c r="DX353" s="253"/>
      <c r="DY353" s="253"/>
      <c r="DZ353" s="253"/>
      <c r="EA353" s="253"/>
      <c r="EB353" s="253"/>
      <c r="EC353" s="253"/>
      <c r="ED353" s="253"/>
      <c r="EE353" s="253"/>
      <c r="EF353" s="253"/>
      <c r="EG353" s="253"/>
      <c r="EH353" s="253"/>
      <c r="EI353" s="253"/>
      <c r="EJ353" s="253"/>
      <c r="EK353" s="253"/>
      <c r="EL353" s="253"/>
      <c r="EM353" s="253"/>
      <c r="EN353" s="253"/>
      <c r="EO353" s="253"/>
      <c r="EP353" s="253"/>
      <c r="EQ353" s="253"/>
      <c r="ER353" s="253"/>
      <c r="ES353" s="253"/>
      <c r="ET353" s="253"/>
      <c r="EU353" s="253"/>
      <c r="EV353" s="253"/>
      <c r="EW353" s="253"/>
      <c r="EX353" s="253"/>
      <c r="EY353" s="253"/>
      <c r="EZ353" s="253"/>
      <c r="FA353" s="253"/>
      <c r="FB353" s="253"/>
      <c r="FC353" s="253"/>
      <c r="FD353" s="253"/>
      <c r="FE353" s="253"/>
      <c r="FF353" s="253"/>
      <c r="FG353" s="253"/>
      <c r="FH353" s="253"/>
      <c r="FI353" s="253"/>
      <c r="FJ353" s="253"/>
      <c r="FK353" s="253"/>
      <c r="FL353" s="253"/>
      <c r="FM353" s="253"/>
      <c r="FN353" s="253"/>
      <c r="FO353" s="253"/>
      <c r="FP353" s="253"/>
      <c r="FQ353" s="253"/>
      <c r="FR353" s="253"/>
      <c r="FS353" s="253"/>
      <c r="FT353" s="253"/>
      <c r="FU353" s="253"/>
      <c r="FV353" s="253"/>
      <c r="FW353" s="253"/>
      <c r="FX353" s="253"/>
      <c r="FY353" s="253"/>
      <c r="FZ353" s="253"/>
      <c r="GA353" s="253"/>
      <c r="GB353" s="253"/>
      <c r="GC353" s="253"/>
      <c r="GD353" s="253"/>
      <c r="GE353" s="253"/>
      <c r="GF353" s="253"/>
      <c r="GG353" s="253"/>
      <c r="GH353" s="253"/>
      <c r="GI353" s="253"/>
      <c r="GJ353" s="253"/>
      <c r="GK353" s="253"/>
      <c r="GL353" s="253"/>
      <c r="GM353" s="253"/>
      <c r="GN353" s="253"/>
      <c r="GO353" s="253"/>
      <c r="GP353" s="253"/>
      <c r="GQ353" s="253"/>
      <c r="GR353" s="253"/>
      <c r="GS353" s="253"/>
      <c r="GT353" s="253"/>
      <c r="GU353" s="253"/>
      <c r="GV353" s="253"/>
      <c r="GW353" s="253"/>
      <c r="GX353" s="253"/>
      <c r="GY353" s="253"/>
      <c r="GZ353" s="253"/>
      <c r="HA353" s="253"/>
      <c r="HB353" s="253"/>
      <c r="HC353" s="253"/>
      <c r="HD353" s="253"/>
      <c r="HE353" s="253"/>
      <c r="HF353" s="253"/>
      <c r="HG353" s="253"/>
      <c r="HH353" s="253"/>
      <c r="HI353" s="253"/>
      <c r="HJ353" s="253"/>
      <c r="HK353" s="253"/>
      <c r="HL353" s="253"/>
      <c r="HM353" s="253"/>
      <c r="HN353" s="253"/>
      <c r="HO353" s="253"/>
      <c r="HP353" s="253"/>
      <c r="HQ353" s="253"/>
      <c r="HR353" s="253"/>
      <c r="HS353" s="253"/>
      <c r="HT353" s="253"/>
      <c r="HU353" s="253"/>
      <c r="HV353" s="253"/>
      <c r="HW353" s="253"/>
      <c r="HX353" s="253"/>
      <c r="HY353" s="253"/>
      <c r="HZ353" s="253"/>
      <c r="IA353" s="253"/>
      <c r="IB353" s="253"/>
      <c r="IC353" s="253"/>
      <c r="ID353" s="253"/>
      <c r="IE353" s="253"/>
      <c r="IF353" s="253"/>
    </row>
    <row r="354" spans="1:240" s="252" customFormat="1" ht="47.25" x14ac:dyDescent="0.25">
      <c r="A354" s="249">
        <f t="shared" si="108"/>
        <v>234</v>
      </c>
      <c r="B354" s="216" t="s">
        <v>790</v>
      </c>
      <c r="C354" s="223" t="s">
        <v>65</v>
      </c>
      <c r="D354" s="238" t="s">
        <v>54</v>
      </c>
      <c r="E354" s="78">
        <f t="shared" si="105"/>
        <v>0.14000000000000001</v>
      </c>
      <c r="F354" s="20">
        <v>0.04</v>
      </c>
      <c r="G354" s="28">
        <f t="shared" si="106"/>
        <v>0.1</v>
      </c>
      <c r="H354" s="238">
        <v>0</v>
      </c>
      <c r="I354" s="238">
        <v>0</v>
      </c>
      <c r="J354" s="238">
        <v>0</v>
      </c>
      <c r="K354" s="238">
        <v>0.03</v>
      </c>
      <c r="L354" s="238">
        <v>0.05</v>
      </c>
      <c r="M354" s="238">
        <v>0</v>
      </c>
      <c r="N354" s="238">
        <v>0</v>
      </c>
      <c r="O354" s="238">
        <v>0</v>
      </c>
      <c r="P354" s="238">
        <v>0</v>
      </c>
      <c r="Q354" s="238">
        <v>0</v>
      </c>
      <c r="R354" s="238">
        <v>0</v>
      </c>
      <c r="S354" s="238">
        <v>0</v>
      </c>
      <c r="T354" s="238">
        <v>0</v>
      </c>
      <c r="U354" s="238">
        <v>0</v>
      </c>
      <c r="V354" s="238">
        <v>0</v>
      </c>
      <c r="W354" s="238">
        <v>0</v>
      </c>
      <c r="X354" s="238">
        <v>0</v>
      </c>
      <c r="Y354" s="238">
        <v>0</v>
      </c>
      <c r="Z354" s="238">
        <v>0</v>
      </c>
      <c r="AA354" s="238">
        <v>0</v>
      </c>
      <c r="AB354" s="238">
        <v>0</v>
      </c>
      <c r="AC354" s="238">
        <v>0</v>
      </c>
      <c r="AD354" s="238">
        <v>0</v>
      </c>
      <c r="AE354" s="238">
        <v>0</v>
      </c>
      <c r="AF354" s="238">
        <v>0</v>
      </c>
      <c r="AG354" s="238">
        <v>0</v>
      </c>
      <c r="AH354" s="238">
        <v>0</v>
      </c>
      <c r="AI354" s="238">
        <v>0</v>
      </c>
      <c r="AJ354" s="238">
        <v>0</v>
      </c>
      <c r="AK354" s="238">
        <v>0</v>
      </c>
      <c r="AL354" s="238">
        <v>0</v>
      </c>
      <c r="AM354" s="238">
        <v>0</v>
      </c>
      <c r="AN354" s="238">
        <v>0</v>
      </c>
      <c r="AO354" s="238">
        <v>0</v>
      </c>
      <c r="AP354" s="238">
        <v>0</v>
      </c>
      <c r="AQ354" s="238">
        <v>0</v>
      </c>
      <c r="AR354" s="238">
        <v>0</v>
      </c>
      <c r="AS354" s="238">
        <v>0</v>
      </c>
      <c r="AT354" s="238">
        <v>0</v>
      </c>
      <c r="AU354" s="238">
        <v>0.02</v>
      </c>
      <c r="AV354" s="238">
        <v>0</v>
      </c>
      <c r="AW354" s="238">
        <v>0</v>
      </c>
      <c r="AX354" s="238">
        <v>0</v>
      </c>
      <c r="AY354" s="238">
        <v>0</v>
      </c>
      <c r="AZ354" s="238">
        <v>0</v>
      </c>
      <c r="BA354" s="238">
        <v>0</v>
      </c>
      <c r="BB354" s="238">
        <v>0</v>
      </c>
      <c r="BC354" s="238">
        <v>0</v>
      </c>
      <c r="BD354" s="238">
        <v>0</v>
      </c>
      <c r="BE354" s="238">
        <v>0</v>
      </c>
      <c r="BF354" s="238">
        <v>0</v>
      </c>
      <c r="BG354" s="238">
        <v>0</v>
      </c>
      <c r="BH354" s="235" t="s">
        <v>791</v>
      </c>
      <c r="BI354" s="223" t="s">
        <v>65</v>
      </c>
      <c r="BJ354" s="243" t="s">
        <v>792</v>
      </c>
      <c r="BK354" s="238" t="s">
        <v>120</v>
      </c>
      <c r="BL354" s="218" t="s">
        <v>1013</v>
      </c>
      <c r="BM354" s="226" t="s">
        <v>1026</v>
      </c>
      <c r="BN354" s="253"/>
      <c r="BO354" s="253"/>
      <c r="BP354" s="253"/>
      <c r="BQ354" s="253"/>
      <c r="BR354" s="253"/>
      <c r="BS354" s="253"/>
      <c r="BT354" s="253"/>
      <c r="BU354" s="253"/>
      <c r="BV354" s="253"/>
      <c r="BW354" s="253"/>
      <c r="BX354" s="253"/>
      <c r="BY354" s="253"/>
      <c r="BZ354" s="253"/>
      <c r="CA354" s="253"/>
      <c r="CB354" s="253"/>
      <c r="CC354" s="253"/>
      <c r="CD354" s="253"/>
      <c r="CE354" s="253"/>
      <c r="CF354" s="253"/>
      <c r="CG354" s="253"/>
      <c r="CH354" s="253"/>
      <c r="CI354" s="253"/>
      <c r="CJ354" s="253"/>
      <c r="CK354" s="253"/>
      <c r="CL354" s="253"/>
      <c r="CM354" s="253"/>
      <c r="CN354" s="253"/>
      <c r="CO354" s="253"/>
      <c r="CP354" s="253"/>
      <c r="CQ354" s="253"/>
      <c r="CR354" s="253"/>
      <c r="CS354" s="253"/>
      <c r="CT354" s="253"/>
      <c r="CU354" s="253"/>
      <c r="CV354" s="253"/>
      <c r="CW354" s="253"/>
      <c r="CX354" s="253"/>
      <c r="CY354" s="253"/>
      <c r="CZ354" s="253"/>
      <c r="DA354" s="253"/>
      <c r="DB354" s="253"/>
      <c r="DC354" s="253"/>
      <c r="DD354" s="253"/>
      <c r="DE354" s="253"/>
      <c r="DF354" s="253"/>
      <c r="DG354" s="253"/>
      <c r="DH354" s="253"/>
      <c r="DI354" s="253"/>
      <c r="DJ354" s="253"/>
      <c r="DK354" s="253"/>
      <c r="DL354" s="253"/>
      <c r="DM354" s="253"/>
      <c r="DN354" s="253"/>
      <c r="DO354" s="253"/>
      <c r="DP354" s="253"/>
      <c r="DQ354" s="253"/>
      <c r="DR354" s="253"/>
      <c r="DS354" s="253"/>
      <c r="DT354" s="253"/>
      <c r="DU354" s="253"/>
      <c r="DV354" s="253"/>
      <c r="DW354" s="253"/>
      <c r="DX354" s="253"/>
      <c r="DY354" s="253"/>
      <c r="DZ354" s="253"/>
      <c r="EA354" s="253"/>
      <c r="EB354" s="253"/>
      <c r="EC354" s="253"/>
      <c r="ED354" s="253"/>
      <c r="EE354" s="253"/>
      <c r="EF354" s="253"/>
      <c r="EG354" s="253"/>
      <c r="EH354" s="253"/>
      <c r="EI354" s="253"/>
      <c r="EJ354" s="253"/>
      <c r="EK354" s="253"/>
      <c r="EL354" s="253"/>
      <c r="EM354" s="253"/>
      <c r="EN354" s="253"/>
      <c r="EO354" s="253"/>
      <c r="EP354" s="253"/>
      <c r="EQ354" s="253"/>
      <c r="ER354" s="253"/>
      <c r="ES354" s="253"/>
      <c r="ET354" s="253"/>
      <c r="EU354" s="253"/>
      <c r="EV354" s="253"/>
      <c r="EW354" s="253"/>
      <c r="EX354" s="253"/>
      <c r="EY354" s="253"/>
      <c r="EZ354" s="253"/>
      <c r="FA354" s="253"/>
      <c r="FB354" s="253"/>
      <c r="FC354" s="253"/>
      <c r="FD354" s="253"/>
      <c r="FE354" s="253"/>
      <c r="FF354" s="253"/>
      <c r="FG354" s="253"/>
      <c r="FH354" s="253"/>
      <c r="FI354" s="253"/>
      <c r="FJ354" s="253"/>
      <c r="FK354" s="253"/>
      <c r="FL354" s="253"/>
      <c r="FM354" s="253"/>
      <c r="FN354" s="253"/>
      <c r="FO354" s="253"/>
      <c r="FP354" s="253"/>
      <c r="FQ354" s="253"/>
      <c r="FR354" s="253"/>
      <c r="FS354" s="253"/>
      <c r="FT354" s="253"/>
      <c r="FU354" s="253"/>
      <c r="FV354" s="253"/>
      <c r="FW354" s="253"/>
      <c r="FX354" s="253"/>
      <c r="FY354" s="253"/>
      <c r="FZ354" s="253"/>
      <c r="GA354" s="253"/>
      <c r="GB354" s="253"/>
      <c r="GC354" s="253"/>
      <c r="GD354" s="253"/>
      <c r="GE354" s="253"/>
      <c r="GF354" s="253"/>
      <c r="GG354" s="253"/>
      <c r="GH354" s="253"/>
      <c r="GI354" s="253"/>
      <c r="GJ354" s="253"/>
      <c r="GK354" s="253"/>
      <c r="GL354" s="253"/>
      <c r="GM354" s="253"/>
      <c r="GN354" s="253"/>
      <c r="GO354" s="253"/>
      <c r="GP354" s="253"/>
      <c r="GQ354" s="253"/>
      <c r="GR354" s="253"/>
      <c r="GS354" s="253"/>
      <c r="GT354" s="253"/>
      <c r="GU354" s="253"/>
      <c r="GV354" s="253"/>
      <c r="GW354" s="253"/>
      <c r="GX354" s="253"/>
      <c r="GY354" s="253"/>
      <c r="GZ354" s="253"/>
      <c r="HA354" s="253"/>
      <c r="HB354" s="253"/>
      <c r="HC354" s="253"/>
      <c r="HD354" s="253"/>
      <c r="HE354" s="253"/>
      <c r="HF354" s="253"/>
      <c r="HG354" s="253"/>
      <c r="HH354" s="253"/>
      <c r="HI354" s="253"/>
      <c r="HJ354" s="253"/>
      <c r="HK354" s="253"/>
      <c r="HL354" s="253"/>
      <c r="HM354" s="253"/>
      <c r="HN354" s="253"/>
      <c r="HO354" s="253"/>
      <c r="HP354" s="253"/>
      <c r="HQ354" s="253"/>
      <c r="HR354" s="253"/>
      <c r="HS354" s="253"/>
      <c r="HT354" s="253"/>
      <c r="HU354" s="253"/>
      <c r="HV354" s="253"/>
      <c r="HW354" s="253"/>
      <c r="HX354" s="253"/>
      <c r="HY354" s="253"/>
      <c r="HZ354" s="253"/>
      <c r="IA354" s="253"/>
      <c r="IB354" s="253"/>
      <c r="IC354" s="253"/>
      <c r="ID354" s="253"/>
      <c r="IE354" s="253"/>
      <c r="IF354" s="253"/>
    </row>
    <row r="355" spans="1:240" s="252" customFormat="1" ht="31.5" x14ac:dyDescent="0.25">
      <c r="A355" s="249">
        <f t="shared" si="108"/>
        <v>235</v>
      </c>
      <c r="B355" s="216" t="s">
        <v>1017</v>
      </c>
      <c r="C355" s="226" t="s">
        <v>154</v>
      </c>
      <c r="D355" s="238" t="s">
        <v>54</v>
      </c>
      <c r="E355" s="78">
        <f t="shared" si="105"/>
        <v>0.04</v>
      </c>
      <c r="F355" s="20"/>
      <c r="G355" s="28">
        <f t="shared" si="106"/>
        <v>0.04</v>
      </c>
      <c r="H355" s="238">
        <v>0</v>
      </c>
      <c r="I355" s="238">
        <v>0</v>
      </c>
      <c r="J355" s="238">
        <v>0</v>
      </c>
      <c r="K355" s="238">
        <v>0.04</v>
      </c>
      <c r="L355" s="238">
        <v>0</v>
      </c>
      <c r="M355" s="238">
        <v>0</v>
      </c>
      <c r="N355" s="238">
        <v>0</v>
      </c>
      <c r="O355" s="238">
        <v>0</v>
      </c>
      <c r="P355" s="238">
        <v>0</v>
      </c>
      <c r="Q355" s="238">
        <v>0</v>
      </c>
      <c r="R355" s="238">
        <v>0</v>
      </c>
      <c r="S355" s="238">
        <v>0</v>
      </c>
      <c r="T355" s="238">
        <v>0</v>
      </c>
      <c r="U355" s="238">
        <v>0</v>
      </c>
      <c r="V355" s="238">
        <v>0</v>
      </c>
      <c r="W355" s="238">
        <v>0</v>
      </c>
      <c r="X355" s="238">
        <v>0</v>
      </c>
      <c r="Y355" s="238">
        <v>0</v>
      </c>
      <c r="Z355" s="238">
        <v>0</v>
      </c>
      <c r="AA355" s="238">
        <v>0</v>
      </c>
      <c r="AB355" s="238">
        <v>0</v>
      </c>
      <c r="AC355" s="238">
        <v>0</v>
      </c>
      <c r="AD355" s="238">
        <v>0</v>
      </c>
      <c r="AE355" s="238">
        <v>0</v>
      </c>
      <c r="AF355" s="238">
        <v>0</v>
      </c>
      <c r="AG355" s="238">
        <v>0</v>
      </c>
      <c r="AH355" s="238">
        <v>0</v>
      </c>
      <c r="AI355" s="238">
        <v>0</v>
      </c>
      <c r="AJ355" s="238"/>
      <c r="AK355" s="238">
        <v>0</v>
      </c>
      <c r="AL355" s="238"/>
      <c r="AM355" s="238">
        <v>0</v>
      </c>
      <c r="AN355" s="238">
        <v>0</v>
      </c>
      <c r="AO355" s="238">
        <v>0</v>
      </c>
      <c r="AP355" s="238">
        <v>0</v>
      </c>
      <c r="AQ355" s="238">
        <v>0</v>
      </c>
      <c r="AR355" s="238">
        <v>0</v>
      </c>
      <c r="AS355" s="238">
        <v>0</v>
      </c>
      <c r="AT355" s="238">
        <v>0</v>
      </c>
      <c r="AU355" s="238">
        <v>0</v>
      </c>
      <c r="AV355" s="238">
        <v>0</v>
      </c>
      <c r="AW355" s="238">
        <v>0</v>
      </c>
      <c r="AX355" s="238">
        <v>0</v>
      </c>
      <c r="AY355" s="238">
        <v>0</v>
      </c>
      <c r="AZ355" s="238">
        <v>0</v>
      </c>
      <c r="BA355" s="238">
        <v>0</v>
      </c>
      <c r="BB355" s="238">
        <v>0</v>
      </c>
      <c r="BC355" s="238">
        <v>0</v>
      </c>
      <c r="BD355" s="238">
        <v>0</v>
      </c>
      <c r="BE355" s="238">
        <v>0</v>
      </c>
      <c r="BF355" s="238">
        <v>0</v>
      </c>
      <c r="BG355" s="238">
        <v>0</v>
      </c>
      <c r="BH355" s="101" t="s">
        <v>1015</v>
      </c>
      <c r="BI355" s="226" t="s">
        <v>154</v>
      </c>
      <c r="BJ355" s="238" t="s">
        <v>1016</v>
      </c>
      <c r="BK355" s="238" t="s">
        <v>120</v>
      </c>
      <c r="BL355" s="218" t="s">
        <v>202</v>
      </c>
      <c r="BM355" s="226" t="s">
        <v>1026</v>
      </c>
      <c r="BN355" s="253"/>
      <c r="BO355" s="253"/>
      <c r="BP355" s="253"/>
      <c r="BQ355" s="253"/>
      <c r="BR355" s="253"/>
      <c r="BS355" s="253"/>
      <c r="BT355" s="253"/>
      <c r="BU355" s="253"/>
      <c r="BV355" s="253"/>
      <c r="BW355" s="253"/>
      <c r="BX355" s="253"/>
      <c r="BY355" s="253"/>
      <c r="BZ355" s="253"/>
      <c r="CA355" s="253"/>
      <c r="CB355" s="253"/>
      <c r="CC355" s="253"/>
      <c r="CD355" s="253"/>
      <c r="CE355" s="253"/>
      <c r="CF355" s="253"/>
      <c r="CG355" s="253"/>
      <c r="CH355" s="253"/>
      <c r="CI355" s="253"/>
      <c r="CJ355" s="253"/>
      <c r="CK355" s="253"/>
      <c r="CL355" s="253"/>
      <c r="CM355" s="253"/>
      <c r="CN355" s="253"/>
      <c r="CO355" s="253"/>
      <c r="CP355" s="253"/>
      <c r="CQ355" s="253"/>
      <c r="CR355" s="253"/>
      <c r="CS355" s="253"/>
      <c r="CT355" s="253"/>
      <c r="CU355" s="253"/>
      <c r="CV355" s="253"/>
      <c r="CW355" s="253"/>
      <c r="CX355" s="253"/>
      <c r="CY355" s="253"/>
      <c r="CZ355" s="253"/>
      <c r="DA355" s="253"/>
      <c r="DB355" s="253"/>
      <c r="DC355" s="253"/>
      <c r="DD355" s="253"/>
      <c r="DE355" s="253"/>
      <c r="DF355" s="253"/>
      <c r="DG355" s="253"/>
      <c r="DH355" s="253"/>
      <c r="DI355" s="253"/>
      <c r="DJ355" s="253"/>
      <c r="DK355" s="253"/>
      <c r="DL355" s="253"/>
      <c r="DM355" s="253"/>
      <c r="DN355" s="253"/>
      <c r="DO355" s="253"/>
      <c r="DP355" s="253"/>
      <c r="DQ355" s="253"/>
      <c r="DR355" s="253"/>
      <c r="DS355" s="253"/>
      <c r="DT355" s="253"/>
      <c r="DU355" s="253"/>
      <c r="DV355" s="253"/>
      <c r="DW355" s="253"/>
      <c r="DX355" s="253"/>
      <c r="DY355" s="253"/>
      <c r="DZ355" s="253"/>
      <c r="EA355" s="253"/>
      <c r="EB355" s="253"/>
      <c r="EC355" s="253"/>
      <c r="ED355" s="253"/>
      <c r="EE355" s="253"/>
      <c r="EF355" s="253"/>
      <c r="EG355" s="253"/>
      <c r="EH355" s="253"/>
      <c r="EI355" s="253"/>
      <c r="EJ355" s="253"/>
      <c r="EK355" s="253"/>
      <c r="EL355" s="253"/>
      <c r="EM355" s="253"/>
      <c r="EN355" s="253"/>
      <c r="EO355" s="253"/>
      <c r="EP355" s="253"/>
      <c r="EQ355" s="253"/>
      <c r="ER355" s="253"/>
      <c r="ES355" s="253"/>
      <c r="ET355" s="253"/>
      <c r="EU355" s="253"/>
      <c r="EV355" s="253"/>
      <c r="EW355" s="253"/>
      <c r="EX355" s="253"/>
      <c r="EY355" s="253"/>
      <c r="EZ355" s="253"/>
      <c r="FA355" s="253"/>
      <c r="FB355" s="253"/>
      <c r="FC355" s="253"/>
      <c r="FD355" s="253"/>
      <c r="FE355" s="253"/>
      <c r="FF355" s="253"/>
      <c r="FG355" s="253"/>
      <c r="FH355" s="253"/>
      <c r="FI355" s="253"/>
      <c r="FJ355" s="253"/>
      <c r="FK355" s="253"/>
      <c r="FL355" s="253"/>
      <c r="FM355" s="253"/>
      <c r="FN355" s="253"/>
      <c r="FO355" s="253"/>
      <c r="FP355" s="253"/>
      <c r="FQ355" s="253"/>
      <c r="FR355" s="253"/>
      <c r="FS355" s="253"/>
      <c r="FT355" s="253"/>
      <c r="FU355" s="253"/>
      <c r="FV355" s="253"/>
      <c r="FW355" s="253"/>
      <c r="FX355" s="253"/>
      <c r="FY355" s="253"/>
      <c r="FZ355" s="253"/>
      <c r="GA355" s="253"/>
      <c r="GB355" s="253"/>
      <c r="GC355" s="253"/>
      <c r="GD355" s="253"/>
      <c r="GE355" s="253"/>
      <c r="GF355" s="253"/>
      <c r="GG355" s="253"/>
      <c r="GH355" s="253"/>
      <c r="GI355" s="253"/>
      <c r="GJ355" s="253"/>
      <c r="GK355" s="253"/>
      <c r="GL355" s="253"/>
      <c r="GM355" s="253"/>
      <c r="GN355" s="253"/>
      <c r="GO355" s="253"/>
      <c r="GP355" s="253"/>
      <c r="GQ355" s="253"/>
      <c r="GR355" s="253"/>
      <c r="GS355" s="253"/>
      <c r="GT355" s="253"/>
      <c r="GU355" s="253"/>
      <c r="GV355" s="253"/>
      <c r="GW355" s="253"/>
      <c r="GX355" s="253"/>
      <c r="GY355" s="253"/>
      <c r="GZ355" s="253"/>
      <c r="HA355" s="253"/>
      <c r="HB355" s="253"/>
      <c r="HC355" s="253"/>
      <c r="HD355" s="253"/>
      <c r="HE355" s="253"/>
      <c r="HF355" s="253"/>
      <c r="HG355" s="253"/>
      <c r="HH355" s="253"/>
      <c r="HI355" s="253"/>
      <c r="HJ355" s="253"/>
      <c r="HK355" s="253"/>
      <c r="HL355" s="253"/>
      <c r="HM355" s="253"/>
      <c r="HN355" s="253"/>
      <c r="HO355" s="253"/>
      <c r="HP355" s="253"/>
      <c r="HQ355" s="253"/>
      <c r="HR355" s="253"/>
      <c r="HS355" s="253"/>
      <c r="HT355" s="253"/>
      <c r="HU355" s="253"/>
      <c r="HV355" s="253"/>
      <c r="HW355" s="253"/>
      <c r="HX355" s="253"/>
      <c r="HY355" s="253"/>
      <c r="HZ355" s="253"/>
      <c r="IA355" s="253"/>
      <c r="IB355" s="253"/>
      <c r="IC355" s="253"/>
      <c r="ID355" s="253"/>
      <c r="IE355" s="253"/>
      <c r="IF355" s="253"/>
    </row>
    <row r="356" spans="1:240" s="252" customFormat="1" ht="110.25" x14ac:dyDescent="0.25">
      <c r="A356" s="249">
        <f t="shared" si="108"/>
        <v>236</v>
      </c>
      <c r="B356" s="216" t="s">
        <v>793</v>
      </c>
      <c r="C356" s="238" t="s">
        <v>158</v>
      </c>
      <c r="D356" s="238" t="s">
        <v>54</v>
      </c>
      <c r="E356" s="78">
        <f t="shared" si="105"/>
        <v>0.15000000000000002</v>
      </c>
      <c r="F356" s="73"/>
      <c r="G356" s="28">
        <f t="shared" si="106"/>
        <v>0.15000000000000002</v>
      </c>
      <c r="H356" s="238">
        <v>0</v>
      </c>
      <c r="I356" s="238">
        <v>0</v>
      </c>
      <c r="J356" s="238">
        <v>0</v>
      </c>
      <c r="K356" s="238">
        <v>0.02</v>
      </c>
      <c r="L356" s="238">
        <v>0</v>
      </c>
      <c r="M356" s="238">
        <v>0</v>
      </c>
      <c r="N356" s="238">
        <v>0</v>
      </c>
      <c r="O356" s="238">
        <v>0</v>
      </c>
      <c r="P356" s="238">
        <v>0</v>
      </c>
      <c r="Q356" s="238">
        <v>0</v>
      </c>
      <c r="R356" s="238">
        <v>0</v>
      </c>
      <c r="S356" s="238">
        <v>0</v>
      </c>
      <c r="T356" s="238">
        <v>0</v>
      </c>
      <c r="U356" s="238">
        <v>0.1</v>
      </c>
      <c r="V356" s="238">
        <v>0.05</v>
      </c>
      <c r="W356" s="238">
        <v>0.05</v>
      </c>
      <c r="X356" s="238">
        <v>0</v>
      </c>
      <c r="Y356" s="238">
        <v>0</v>
      </c>
      <c r="Z356" s="238">
        <v>0</v>
      </c>
      <c r="AA356" s="238">
        <v>0</v>
      </c>
      <c r="AB356" s="238">
        <v>0</v>
      </c>
      <c r="AC356" s="238">
        <v>0</v>
      </c>
      <c r="AD356" s="238">
        <v>0</v>
      </c>
      <c r="AE356" s="238">
        <v>0</v>
      </c>
      <c r="AF356" s="238">
        <v>0</v>
      </c>
      <c r="AG356" s="238">
        <v>0</v>
      </c>
      <c r="AH356" s="238">
        <v>0</v>
      </c>
      <c r="AI356" s="238">
        <v>0</v>
      </c>
      <c r="AJ356" s="238">
        <v>0</v>
      </c>
      <c r="AK356" s="238">
        <v>0</v>
      </c>
      <c r="AL356" s="238">
        <v>0</v>
      </c>
      <c r="AM356" s="238">
        <v>0</v>
      </c>
      <c r="AN356" s="238">
        <v>0</v>
      </c>
      <c r="AO356" s="238">
        <v>0</v>
      </c>
      <c r="AP356" s="238">
        <v>0</v>
      </c>
      <c r="AQ356" s="238">
        <v>0</v>
      </c>
      <c r="AR356" s="238">
        <v>0</v>
      </c>
      <c r="AS356" s="238">
        <v>0</v>
      </c>
      <c r="AT356" s="238">
        <v>0.03</v>
      </c>
      <c r="AU356" s="238">
        <v>0</v>
      </c>
      <c r="AV356" s="238">
        <v>0</v>
      </c>
      <c r="AW356" s="238">
        <v>0</v>
      </c>
      <c r="AX356" s="238">
        <v>0</v>
      </c>
      <c r="AY356" s="238">
        <v>0</v>
      </c>
      <c r="AZ356" s="238">
        <v>0</v>
      </c>
      <c r="BA356" s="238">
        <v>0</v>
      </c>
      <c r="BB356" s="238">
        <v>0</v>
      </c>
      <c r="BC356" s="238">
        <v>0</v>
      </c>
      <c r="BD356" s="238">
        <v>0</v>
      </c>
      <c r="BE356" s="238">
        <v>0</v>
      </c>
      <c r="BF356" s="238">
        <v>0</v>
      </c>
      <c r="BG356" s="238">
        <v>0</v>
      </c>
      <c r="BH356" s="238" t="s">
        <v>794</v>
      </c>
      <c r="BI356" s="238" t="s">
        <v>158</v>
      </c>
      <c r="BJ356" s="238" t="s">
        <v>795</v>
      </c>
      <c r="BK356" s="233" t="s">
        <v>120</v>
      </c>
      <c r="BL356" s="218" t="s">
        <v>202</v>
      </c>
      <c r="BM356" s="226" t="s">
        <v>1031</v>
      </c>
      <c r="BN356" s="253"/>
      <c r="BO356" s="253"/>
      <c r="BP356" s="253"/>
      <c r="BQ356" s="253"/>
      <c r="BR356" s="253"/>
      <c r="BS356" s="253"/>
      <c r="BT356" s="253"/>
      <c r="BU356" s="253"/>
      <c r="BV356" s="253"/>
      <c r="BW356" s="253"/>
      <c r="BX356" s="253"/>
      <c r="BY356" s="253"/>
      <c r="BZ356" s="253"/>
      <c r="CA356" s="253"/>
      <c r="CB356" s="253"/>
      <c r="CC356" s="253"/>
      <c r="CD356" s="253"/>
      <c r="CE356" s="253"/>
      <c r="CF356" s="253"/>
      <c r="CG356" s="253"/>
      <c r="CH356" s="253"/>
      <c r="CI356" s="253"/>
      <c r="CJ356" s="253"/>
      <c r="CK356" s="253"/>
      <c r="CL356" s="253"/>
      <c r="CM356" s="253"/>
      <c r="CN356" s="253"/>
      <c r="CO356" s="253"/>
      <c r="CP356" s="253"/>
      <c r="CQ356" s="253"/>
      <c r="CR356" s="253"/>
      <c r="CS356" s="253"/>
      <c r="CT356" s="253"/>
      <c r="CU356" s="253"/>
      <c r="CV356" s="253"/>
      <c r="CW356" s="253"/>
      <c r="CX356" s="253"/>
      <c r="CY356" s="253"/>
      <c r="CZ356" s="253"/>
      <c r="DA356" s="253"/>
      <c r="DB356" s="253"/>
      <c r="DC356" s="253"/>
      <c r="DD356" s="253"/>
      <c r="DE356" s="253"/>
      <c r="DF356" s="253"/>
      <c r="DG356" s="253"/>
      <c r="DH356" s="253"/>
      <c r="DI356" s="253"/>
      <c r="DJ356" s="253"/>
      <c r="DK356" s="253"/>
      <c r="DL356" s="253"/>
      <c r="DM356" s="253"/>
      <c r="DN356" s="253"/>
      <c r="DO356" s="253"/>
      <c r="DP356" s="253"/>
      <c r="DQ356" s="253"/>
      <c r="DR356" s="253"/>
      <c r="DS356" s="253"/>
      <c r="DT356" s="253"/>
      <c r="DU356" s="253"/>
      <c r="DV356" s="253"/>
      <c r="DW356" s="253"/>
      <c r="DX356" s="253"/>
      <c r="DY356" s="253"/>
      <c r="DZ356" s="253"/>
      <c r="EA356" s="253"/>
      <c r="EB356" s="253"/>
      <c r="EC356" s="253"/>
      <c r="ED356" s="253"/>
      <c r="EE356" s="253"/>
      <c r="EF356" s="253"/>
      <c r="EG356" s="253"/>
      <c r="EH356" s="253"/>
      <c r="EI356" s="253"/>
      <c r="EJ356" s="253"/>
      <c r="EK356" s="253"/>
      <c r="EL356" s="253"/>
      <c r="EM356" s="253"/>
      <c r="EN356" s="253"/>
      <c r="EO356" s="253"/>
      <c r="EP356" s="253"/>
      <c r="EQ356" s="253"/>
      <c r="ER356" s="253"/>
      <c r="ES356" s="253"/>
      <c r="ET356" s="253"/>
      <c r="EU356" s="253"/>
      <c r="EV356" s="253"/>
      <c r="EW356" s="253"/>
      <c r="EX356" s="253"/>
      <c r="EY356" s="253"/>
      <c r="EZ356" s="253"/>
      <c r="FA356" s="253"/>
      <c r="FB356" s="253"/>
      <c r="FC356" s="253"/>
      <c r="FD356" s="253"/>
      <c r="FE356" s="253"/>
      <c r="FF356" s="253"/>
      <c r="FG356" s="253"/>
      <c r="FH356" s="253"/>
      <c r="FI356" s="253"/>
      <c r="FJ356" s="253"/>
      <c r="FK356" s="253"/>
      <c r="FL356" s="253"/>
      <c r="FM356" s="253"/>
      <c r="FN356" s="253"/>
      <c r="FO356" s="253"/>
      <c r="FP356" s="253"/>
      <c r="FQ356" s="253"/>
      <c r="FR356" s="253"/>
      <c r="FS356" s="253"/>
      <c r="FT356" s="253"/>
      <c r="FU356" s="253"/>
      <c r="FV356" s="253"/>
      <c r="FW356" s="253"/>
      <c r="FX356" s="253"/>
      <c r="FY356" s="253"/>
      <c r="FZ356" s="253"/>
      <c r="GA356" s="253"/>
      <c r="GB356" s="253"/>
      <c r="GC356" s="253"/>
      <c r="GD356" s="253"/>
      <c r="GE356" s="253"/>
      <c r="GF356" s="253"/>
      <c r="GG356" s="253"/>
      <c r="GH356" s="253"/>
      <c r="GI356" s="253"/>
      <c r="GJ356" s="253"/>
      <c r="GK356" s="253"/>
      <c r="GL356" s="253"/>
      <c r="GM356" s="253"/>
      <c r="GN356" s="253"/>
      <c r="GO356" s="253"/>
      <c r="GP356" s="253"/>
      <c r="GQ356" s="253"/>
      <c r="GR356" s="253"/>
      <c r="GS356" s="253"/>
      <c r="GT356" s="253"/>
      <c r="GU356" s="253"/>
      <c r="GV356" s="253"/>
      <c r="GW356" s="253"/>
      <c r="GX356" s="253"/>
      <c r="GY356" s="253"/>
      <c r="GZ356" s="253"/>
      <c r="HA356" s="253"/>
      <c r="HB356" s="253"/>
      <c r="HC356" s="253"/>
      <c r="HD356" s="253"/>
      <c r="HE356" s="253"/>
      <c r="HF356" s="253"/>
      <c r="HG356" s="253"/>
      <c r="HH356" s="253"/>
      <c r="HI356" s="253"/>
      <c r="HJ356" s="253"/>
      <c r="HK356" s="253"/>
      <c r="HL356" s="253"/>
      <c r="HM356" s="253"/>
      <c r="HN356" s="253"/>
      <c r="HO356" s="253"/>
      <c r="HP356" s="253"/>
      <c r="HQ356" s="253"/>
      <c r="HR356" s="253"/>
      <c r="HS356" s="253"/>
      <c r="HT356" s="253"/>
      <c r="HU356" s="253"/>
      <c r="HV356" s="253"/>
      <c r="HW356" s="253"/>
      <c r="HX356" s="253"/>
      <c r="HY356" s="253"/>
      <c r="HZ356" s="253"/>
      <c r="IA356" s="253"/>
      <c r="IB356" s="253"/>
      <c r="IC356" s="253"/>
      <c r="ID356" s="253"/>
      <c r="IE356" s="253"/>
      <c r="IF356" s="253"/>
    </row>
    <row r="357" spans="1:240" s="253" customFormat="1" ht="31.5" x14ac:dyDescent="0.25">
      <c r="A357" s="249">
        <f t="shared" si="108"/>
        <v>237</v>
      </c>
      <c r="B357" s="216" t="s">
        <v>796</v>
      </c>
      <c r="C357" s="222" t="s">
        <v>99</v>
      </c>
      <c r="D357" s="238" t="s">
        <v>54</v>
      </c>
      <c r="E357" s="78">
        <f t="shared" si="105"/>
        <v>0.08</v>
      </c>
      <c r="F357" s="73"/>
      <c r="G357" s="28">
        <f t="shared" si="106"/>
        <v>0.08</v>
      </c>
      <c r="H357" s="222"/>
      <c r="I357" s="222"/>
      <c r="J357" s="222"/>
      <c r="K357" s="222"/>
      <c r="L357" s="222"/>
      <c r="M357" s="222"/>
      <c r="N357" s="222"/>
      <c r="O357" s="222"/>
      <c r="P357" s="222"/>
      <c r="Q357" s="222"/>
      <c r="R357" s="222"/>
      <c r="S357" s="222"/>
      <c r="T357" s="222"/>
      <c r="U357" s="238"/>
      <c r="V357" s="222"/>
      <c r="W357" s="222"/>
      <c r="X357" s="222"/>
      <c r="Y357" s="222"/>
      <c r="Z357" s="222"/>
      <c r="AA357" s="222"/>
      <c r="AB357" s="222"/>
      <c r="AC357" s="222"/>
      <c r="AD357" s="222"/>
      <c r="AE357" s="222"/>
      <c r="AF357" s="222"/>
      <c r="AG357" s="222"/>
      <c r="AH357" s="222"/>
      <c r="AI357" s="222"/>
      <c r="AJ357" s="222"/>
      <c r="AK357" s="222"/>
      <c r="AL357" s="222">
        <v>0.08</v>
      </c>
      <c r="AM357" s="222"/>
      <c r="AN357" s="222"/>
      <c r="AO357" s="222"/>
      <c r="AP357" s="222"/>
      <c r="AQ357" s="222"/>
      <c r="AR357" s="222"/>
      <c r="AS357" s="222"/>
      <c r="AT357" s="222"/>
      <c r="AU357" s="50"/>
      <c r="AV357" s="50"/>
      <c r="AW357" s="222"/>
      <c r="AX357" s="50"/>
      <c r="AY357" s="222"/>
      <c r="AZ357" s="222"/>
      <c r="BA357" s="222"/>
      <c r="BB357" s="50"/>
      <c r="BC357" s="222"/>
      <c r="BD357" s="50"/>
      <c r="BE357" s="50"/>
      <c r="BF357" s="222"/>
      <c r="BG357" s="50"/>
      <c r="BH357" s="222" t="s">
        <v>797</v>
      </c>
      <c r="BI357" s="222" t="s">
        <v>99</v>
      </c>
      <c r="BJ357" s="222" t="s">
        <v>798</v>
      </c>
      <c r="BK357" s="233" t="s">
        <v>120</v>
      </c>
      <c r="BL357" s="218" t="s">
        <v>202</v>
      </c>
      <c r="BM357" s="226" t="s">
        <v>206</v>
      </c>
    </row>
    <row r="358" spans="1:240" s="252" customFormat="1" ht="31.5" x14ac:dyDescent="0.25">
      <c r="A358" s="249">
        <f t="shared" si="108"/>
        <v>238</v>
      </c>
      <c r="B358" s="216" t="s">
        <v>799</v>
      </c>
      <c r="C358" s="226" t="s">
        <v>106</v>
      </c>
      <c r="D358" s="238" t="s">
        <v>54</v>
      </c>
      <c r="E358" s="78">
        <f t="shared" si="105"/>
        <v>0.05</v>
      </c>
      <c r="F358" s="73">
        <v>0.02</v>
      </c>
      <c r="G358" s="28">
        <f t="shared" si="106"/>
        <v>0.03</v>
      </c>
      <c r="H358" s="238">
        <v>0</v>
      </c>
      <c r="I358" s="238">
        <v>0</v>
      </c>
      <c r="J358" s="238">
        <v>0</v>
      </c>
      <c r="K358" s="238">
        <v>0.01</v>
      </c>
      <c r="L358" s="238">
        <v>0</v>
      </c>
      <c r="M358" s="238">
        <v>0</v>
      </c>
      <c r="N358" s="238">
        <v>0</v>
      </c>
      <c r="O358" s="238">
        <v>0</v>
      </c>
      <c r="P358" s="238">
        <v>0</v>
      </c>
      <c r="Q358" s="238">
        <v>0</v>
      </c>
      <c r="R358" s="238">
        <v>0</v>
      </c>
      <c r="S358" s="238">
        <v>0</v>
      </c>
      <c r="T358" s="238">
        <v>0</v>
      </c>
      <c r="U358" s="238">
        <v>0.01</v>
      </c>
      <c r="V358" s="238">
        <v>0.01</v>
      </c>
      <c r="W358" s="238">
        <v>0</v>
      </c>
      <c r="X358" s="238">
        <v>0</v>
      </c>
      <c r="Y358" s="238">
        <v>0</v>
      </c>
      <c r="Z358" s="238">
        <v>0</v>
      </c>
      <c r="AA358" s="238">
        <v>0</v>
      </c>
      <c r="AB358" s="238">
        <v>0</v>
      </c>
      <c r="AC358" s="238">
        <v>0</v>
      </c>
      <c r="AD358" s="238">
        <v>0</v>
      </c>
      <c r="AE358" s="238">
        <v>0</v>
      </c>
      <c r="AF358" s="238">
        <v>0</v>
      </c>
      <c r="AG358" s="238">
        <v>0</v>
      </c>
      <c r="AH358" s="238">
        <v>0</v>
      </c>
      <c r="AI358" s="238">
        <v>0</v>
      </c>
      <c r="AJ358" s="238">
        <v>0</v>
      </c>
      <c r="AK358" s="238">
        <v>0</v>
      </c>
      <c r="AL358" s="238">
        <v>0</v>
      </c>
      <c r="AM358" s="238">
        <v>0</v>
      </c>
      <c r="AN358" s="238">
        <v>0</v>
      </c>
      <c r="AO358" s="238">
        <v>0</v>
      </c>
      <c r="AP358" s="238">
        <v>0</v>
      </c>
      <c r="AQ358" s="238">
        <v>0</v>
      </c>
      <c r="AR358" s="238">
        <v>0</v>
      </c>
      <c r="AS358" s="238">
        <v>0</v>
      </c>
      <c r="AT358" s="238">
        <v>0</v>
      </c>
      <c r="AU358" s="238">
        <v>0</v>
      </c>
      <c r="AV358" s="238">
        <v>0</v>
      </c>
      <c r="AW358" s="238">
        <v>0</v>
      </c>
      <c r="AX358" s="238">
        <v>0</v>
      </c>
      <c r="AY358" s="238">
        <v>0</v>
      </c>
      <c r="AZ358" s="238">
        <v>0</v>
      </c>
      <c r="BA358" s="238">
        <v>0</v>
      </c>
      <c r="BB358" s="238">
        <v>0</v>
      </c>
      <c r="BC358" s="238">
        <v>0</v>
      </c>
      <c r="BD358" s="238">
        <v>0</v>
      </c>
      <c r="BE358" s="238">
        <v>0</v>
      </c>
      <c r="BF358" s="238">
        <v>0</v>
      </c>
      <c r="BG358" s="238">
        <v>0.01</v>
      </c>
      <c r="BH358" s="222" t="s">
        <v>800</v>
      </c>
      <c r="BI358" s="226" t="s">
        <v>106</v>
      </c>
      <c r="BJ358" s="238" t="s">
        <v>801</v>
      </c>
      <c r="BK358" s="233" t="s">
        <v>120</v>
      </c>
      <c r="BL358" s="218" t="s">
        <v>202</v>
      </c>
      <c r="BM358" s="226" t="s">
        <v>1026</v>
      </c>
      <c r="BN358" s="253"/>
      <c r="BO358" s="253"/>
      <c r="BP358" s="253"/>
      <c r="BQ358" s="253"/>
      <c r="BR358" s="253"/>
      <c r="BS358" s="253"/>
      <c r="BT358" s="253"/>
      <c r="BU358" s="253"/>
      <c r="BV358" s="253"/>
      <c r="BW358" s="253"/>
      <c r="BX358" s="253"/>
      <c r="BY358" s="253"/>
      <c r="BZ358" s="253"/>
      <c r="CA358" s="253"/>
      <c r="CB358" s="253"/>
      <c r="CC358" s="253"/>
      <c r="CD358" s="253"/>
      <c r="CE358" s="253"/>
      <c r="CF358" s="253"/>
      <c r="CG358" s="253"/>
      <c r="CH358" s="253"/>
      <c r="CI358" s="253"/>
      <c r="CJ358" s="253"/>
      <c r="CK358" s="253"/>
      <c r="CL358" s="253"/>
      <c r="CM358" s="253"/>
      <c r="CN358" s="253"/>
      <c r="CO358" s="253"/>
      <c r="CP358" s="253"/>
      <c r="CQ358" s="253"/>
      <c r="CR358" s="253"/>
      <c r="CS358" s="253"/>
      <c r="CT358" s="253"/>
      <c r="CU358" s="253"/>
      <c r="CV358" s="253"/>
      <c r="CW358" s="253"/>
      <c r="CX358" s="253"/>
      <c r="CY358" s="253"/>
      <c r="CZ358" s="253"/>
      <c r="DA358" s="253"/>
      <c r="DB358" s="253"/>
      <c r="DC358" s="253"/>
      <c r="DD358" s="253"/>
      <c r="DE358" s="253"/>
      <c r="DF358" s="253"/>
      <c r="DG358" s="253"/>
      <c r="DH358" s="253"/>
      <c r="DI358" s="253"/>
      <c r="DJ358" s="253"/>
      <c r="DK358" s="253"/>
      <c r="DL358" s="253"/>
      <c r="DM358" s="253"/>
      <c r="DN358" s="253"/>
      <c r="DO358" s="253"/>
      <c r="DP358" s="253"/>
      <c r="DQ358" s="253"/>
      <c r="DR358" s="253"/>
      <c r="DS358" s="253"/>
      <c r="DT358" s="253"/>
      <c r="DU358" s="253"/>
      <c r="DV358" s="253"/>
      <c r="DW358" s="253"/>
      <c r="DX358" s="253"/>
      <c r="DY358" s="253"/>
      <c r="DZ358" s="253"/>
      <c r="EA358" s="253"/>
      <c r="EB358" s="253"/>
      <c r="EC358" s="253"/>
      <c r="ED358" s="253"/>
      <c r="EE358" s="253"/>
      <c r="EF358" s="253"/>
      <c r="EG358" s="253"/>
      <c r="EH358" s="253"/>
      <c r="EI358" s="253"/>
      <c r="EJ358" s="253"/>
      <c r="EK358" s="253"/>
      <c r="EL358" s="253"/>
      <c r="EM358" s="253"/>
      <c r="EN358" s="253"/>
      <c r="EO358" s="253"/>
      <c r="EP358" s="253"/>
      <c r="EQ358" s="253"/>
      <c r="ER358" s="253"/>
      <c r="ES358" s="253"/>
      <c r="ET358" s="253"/>
      <c r="EU358" s="253"/>
      <c r="EV358" s="253"/>
      <c r="EW358" s="253"/>
      <c r="EX358" s="253"/>
      <c r="EY358" s="253"/>
      <c r="EZ358" s="253"/>
      <c r="FA358" s="253"/>
      <c r="FB358" s="253"/>
      <c r="FC358" s="253"/>
      <c r="FD358" s="253"/>
      <c r="FE358" s="253"/>
      <c r="FF358" s="253"/>
      <c r="FG358" s="253"/>
      <c r="FH358" s="253"/>
      <c r="FI358" s="253"/>
      <c r="FJ358" s="253"/>
      <c r="FK358" s="253"/>
      <c r="FL358" s="253"/>
      <c r="FM358" s="253"/>
      <c r="FN358" s="253"/>
      <c r="FO358" s="253"/>
      <c r="FP358" s="253"/>
      <c r="FQ358" s="253"/>
      <c r="FR358" s="253"/>
      <c r="FS358" s="253"/>
      <c r="FT358" s="253"/>
      <c r="FU358" s="253"/>
      <c r="FV358" s="253"/>
      <c r="FW358" s="253"/>
      <c r="FX358" s="253"/>
      <c r="FY358" s="253"/>
      <c r="FZ358" s="253"/>
      <c r="GA358" s="253"/>
      <c r="GB358" s="253"/>
      <c r="GC358" s="253"/>
      <c r="GD358" s="253"/>
      <c r="GE358" s="253"/>
      <c r="GF358" s="253"/>
      <c r="GG358" s="253"/>
      <c r="GH358" s="253"/>
      <c r="GI358" s="253"/>
      <c r="GJ358" s="253"/>
      <c r="GK358" s="253"/>
      <c r="GL358" s="253"/>
      <c r="GM358" s="253"/>
      <c r="GN358" s="253"/>
      <c r="GO358" s="253"/>
      <c r="GP358" s="253"/>
      <c r="GQ358" s="253"/>
      <c r="GR358" s="253"/>
      <c r="GS358" s="253"/>
      <c r="GT358" s="253"/>
      <c r="GU358" s="253"/>
      <c r="GV358" s="253"/>
      <c r="GW358" s="253"/>
      <c r="GX358" s="253"/>
      <c r="GY358" s="253"/>
      <c r="GZ358" s="253"/>
      <c r="HA358" s="253"/>
      <c r="HB358" s="253"/>
      <c r="HC358" s="253"/>
      <c r="HD358" s="253"/>
      <c r="HE358" s="253"/>
      <c r="HF358" s="253"/>
      <c r="HG358" s="253"/>
      <c r="HH358" s="253"/>
      <c r="HI358" s="253"/>
      <c r="HJ358" s="253"/>
      <c r="HK358" s="253"/>
      <c r="HL358" s="253"/>
      <c r="HM358" s="253"/>
      <c r="HN358" s="253"/>
      <c r="HO358" s="253"/>
      <c r="HP358" s="253"/>
      <c r="HQ358" s="253"/>
      <c r="HR358" s="253"/>
      <c r="HS358" s="253"/>
      <c r="HT358" s="253"/>
      <c r="HU358" s="253"/>
      <c r="HV358" s="253"/>
      <c r="HW358" s="253"/>
      <c r="HX358" s="253"/>
      <c r="HY358" s="253"/>
      <c r="HZ358" s="253"/>
      <c r="IA358" s="253"/>
      <c r="IB358" s="253"/>
      <c r="IC358" s="253"/>
      <c r="ID358" s="253"/>
      <c r="IE358" s="253"/>
      <c r="IF358" s="253"/>
    </row>
    <row r="359" spans="1:240" s="252" customFormat="1" ht="63" x14ac:dyDescent="0.25">
      <c r="A359" s="249">
        <f t="shared" si="108"/>
        <v>239</v>
      </c>
      <c r="B359" s="216" t="s">
        <v>802</v>
      </c>
      <c r="C359" s="222" t="s">
        <v>166</v>
      </c>
      <c r="D359" s="238" t="s">
        <v>54</v>
      </c>
      <c r="E359" s="78">
        <f t="shared" si="105"/>
        <v>0.35000000000000003</v>
      </c>
      <c r="F359" s="73">
        <v>0.12000000000000001</v>
      </c>
      <c r="G359" s="28">
        <f t="shared" si="106"/>
        <v>0.23000000000000004</v>
      </c>
      <c r="H359" s="73">
        <v>0</v>
      </c>
      <c r="I359" s="73">
        <v>0.02</v>
      </c>
      <c r="J359" s="73">
        <v>0</v>
      </c>
      <c r="K359" s="73">
        <v>0.03</v>
      </c>
      <c r="L359" s="73">
        <v>0.17</v>
      </c>
      <c r="M359" s="73">
        <v>0</v>
      </c>
      <c r="N359" s="73">
        <v>0</v>
      </c>
      <c r="O359" s="73">
        <v>0</v>
      </c>
      <c r="P359" s="73">
        <v>0</v>
      </c>
      <c r="Q359" s="73">
        <v>0</v>
      </c>
      <c r="R359" s="73">
        <v>0</v>
      </c>
      <c r="S359" s="73">
        <v>0</v>
      </c>
      <c r="T359" s="73">
        <v>0</v>
      </c>
      <c r="U359" s="238">
        <v>0</v>
      </c>
      <c r="V359" s="73">
        <v>0</v>
      </c>
      <c r="W359" s="73">
        <v>0</v>
      </c>
      <c r="X359" s="73">
        <v>0</v>
      </c>
      <c r="Y359" s="73">
        <v>0</v>
      </c>
      <c r="Z359" s="73">
        <v>0</v>
      </c>
      <c r="AA359" s="73">
        <v>0</v>
      </c>
      <c r="AB359" s="73">
        <v>0</v>
      </c>
      <c r="AC359" s="73">
        <v>0</v>
      </c>
      <c r="AD359" s="73">
        <v>0</v>
      </c>
      <c r="AE359" s="73">
        <v>0</v>
      </c>
      <c r="AF359" s="73">
        <v>0</v>
      </c>
      <c r="AG359" s="73">
        <v>0</v>
      </c>
      <c r="AH359" s="73">
        <v>0</v>
      </c>
      <c r="AI359" s="73">
        <v>0</v>
      </c>
      <c r="AJ359" s="73">
        <v>0</v>
      </c>
      <c r="AK359" s="73">
        <v>0</v>
      </c>
      <c r="AL359" s="73">
        <v>0</v>
      </c>
      <c r="AM359" s="73">
        <v>0</v>
      </c>
      <c r="AN359" s="73">
        <v>0</v>
      </c>
      <c r="AO359" s="73">
        <v>0</v>
      </c>
      <c r="AP359" s="73">
        <v>0</v>
      </c>
      <c r="AQ359" s="73">
        <v>0</v>
      </c>
      <c r="AR359" s="73">
        <v>0</v>
      </c>
      <c r="AS359" s="73">
        <v>0</v>
      </c>
      <c r="AT359" s="73">
        <v>0</v>
      </c>
      <c r="AU359" s="73">
        <v>0</v>
      </c>
      <c r="AV359" s="73">
        <v>0</v>
      </c>
      <c r="AW359" s="73">
        <v>0</v>
      </c>
      <c r="AX359" s="73">
        <v>0</v>
      </c>
      <c r="AY359" s="73">
        <v>0</v>
      </c>
      <c r="AZ359" s="73">
        <v>0</v>
      </c>
      <c r="BA359" s="73">
        <v>0</v>
      </c>
      <c r="BB359" s="73">
        <v>0</v>
      </c>
      <c r="BC359" s="73">
        <v>0</v>
      </c>
      <c r="BD359" s="73">
        <v>0</v>
      </c>
      <c r="BE359" s="73">
        <v>0</v>
      </c>
      <c r="BF359" s="73">
        <v>0</v>
      </c>
      <c r="BG359" s="73">
        <v>0.01</v>
      </c>
      <c r="BH359" s="222" t="s">
        <v>1103</v>
      </c>
      <c r="BI359" s="222" t="s">
        <v>166</v>
      </c>
      <c r="BJ359" s="222" t="s">
        <v>803</v>
      </c>
      <c r="BK359" s="233" t="s">
        <v>1066</v>
      </c>
      <c r="BL359" s="218" t="s">
        <v>202</v>
      </c>
      <c r="BM359" s="226" t="s">
        <v>1026</v>
      </c>
      <c r="BN359" s="253"/>
      <c r="BO359" s="253"/>
      <c r="BP359" s="253"/>
      <c r="BQ359" s="253"/>
      <c r="BR359" s="253"/>
      <c r="BS359" s="253"/>
      <c r="BT359" s="253"/>
      <c r="BU359" s="253"/>
      <c r="BV359" s="253"/>
      <c r="BW359" s="253"/>
      <c r="BX359" s="253"/>
      <c r="BY359" s="253"/>
      <c r="BZ359" s="253"/>
      <c r="CA359" s="253"/>
      <c r="CB359" s="253"/>
      <c r="CC359" s="253"/>
      <c r="CD359" s="253"/>
      <c r="CE359" s="253"/>
      <c r="CF359" s="253"/>
      <c r="CG359" s="253"/>
      <c r="CH359" s="253"/>
      <c r="CI359" s="253"/>
      <c r="CJ359" s="253"/>
      <c r="CK359" s="253"/>
      <c r="CL359" s="253"/>
      <c r="CM359" s="253"/>
      <c r="CN359" s="253"/>
      <c r="CO359" s="253"/>
      <c r="CP359" s="253"/>
      <c r="CQ359" s="253"/>
      <c r="CR359" s="253"/>
      <c r="CS359" s="253"/>
      <c r="CT359" s="253"/>
      <c r="CU359" s="253"/>
      <c r="CV359" s="253"/>
      <c r="CW359" s="253"/>
      <c r="CX359" s="253"/>
      <c r="CY359" s="253"/>
      <c r="CZ359" s="253"/>
      <c r="DA359" s="253"/>
      <c r="DB359" s="253"/>
      <c r="DC359" s="253"/>
      <c r="DD359" s="253"/>
      <c r="DE359" s="253"/>
      <c r="DF359" s="253"/>
      <c r="DG359" s="253"/>
      <c r="DH359" s="253"/>
      <c r="DI359" s="253"/>
      <c r="DJ359" s="253"/>
      <c r="DK359" s="253"/>
      <c r="DL359" s="253"/>
      <c r="DM359" s="253"/>
      <c r="DN359" s="253"/>
      <c r="DO359" s="253"/>
      <c r="DP359" s="253"/>
      <c r="DQ359" s="253"/>
      <c r="DR359" s="253"/>
      <c r="DS359" s="253"/>
      <c r="DT359" s="253"/>
      <c r="DU359" s="253"/>
      <c r="DV359" s="253"/>
      <c r="DW359" s="253"/>
      <c r="DX359" s="253"/>
      <c r="DY359" s="253"/>
      <c r="DZ359" s="253"/>
      <c r="EA359" s="253"/>
      <c r="EB359" s="253"/>
      <c r="EC359" s="253"/>
      <c r="ED359" s="253"/>
      <c r="EE359" s="253"/>
      <c r="EF359" s="253"/>
      <c r="EG359" s="253"/>
      <c r="EH359" s="253"/>
      <c r="EI359" s="253"/>
      <c r="EJ359" s="253"/>
      <c r="EK359" s="253"/>
      <c r="EL359" s="253"/>
      <c r="EM359" s="253"/>
      <c r="EN359" s="253"/>
      <c r="EO359" s="253"/>
      <c r="EP359" s="253"/>
      <c r="EQ359" s="253"/>
      <c r="ER359" s="253"/>
      <c r="ES359" s="253"/>
      <c r="ET359" s="253"/>
      <c r="EU359" s="253"/>
      <c r="EV359" s="253"/>
      <c r="EW359" s="253"/>
      <c r="EX359" s="253"/>
      <c r="EY359" s="253"/>
      <c r="EZ359" s="253"/>
      <c r="FA359" s="253"/>
      <c r="FB359" s="253"/>
      <c r="FC359" s="253"/>
      <c r="FD359" s="253"/>
      <c r="FE359" s="253"/>
      <c r="FF359" s="253"/>
      <c r="FG359" s="253"/>
      <c r="FH359" s="253"/>
      <c r="FI359" s="253"/>
      <c r="FJ359" s="253"/>
      <c r="FK359" s="253"/>
      <c r="FL359" s="253"/>
      <c r="FM359" s="253"/>
      <c r="FN359" s="253"/>
      <c r="FO359" s="253"/>
      <c r="FP359" s="253"/>
      <c r="FQ359" s="253"/>
      <c r="FR359" s="253"/>
      <c r="FS359" s="253"/>
      <c r="FT359" s="253"/>
      <c r="FU359" s="253"/>
      <c r="FV359" s="253"/>
      <c r="FW359" s="253"/>
      <c r="FX359" s="253"/>
      <c r="FY359" s="253"/>
      <c r="FZ359" s="253"/>
      <c r="GA359" s="253"/>
      <c r="GB359" s="253"/>
      <c r="GC359" s="253"/>
      <c r="GD359" s="253"/>
      <c r="GE359" s="253"/>
      <c r="GF359" s="253"/>
      <c r="GG359" s="253"/>
      <c r="GH359" s="253"/>
      <c r="GI359" s="253"/>
      <c r="GJ359" s="253"/>
      <c r="GK359" s="253"/>
      <c r="GL359" s="253"/>
      <c r="GM359" s="253"/>
      <c r="GN359" s="253"/>
      <c r="GO359" s="253"/>
      <c r="GP359" s="253"/>
      <c r="GQ359" s="253"/>
      <c r="GR359" s="253"/>
      <c r="GS359" s="253"/>
      <c r="GT359" s="253"/>
      <c r="GU359" s="253"/>
      <c r="GV359" s="253"/>
      <c r="GW359" s="253"/>
      <c r="GX359" s="253"/>
      <c r="GY359" s="253"/>
      <c r="GZ359" s="253"/>
      <c r="HA359" s="253"/>
      <c r="HB359" s="253"/>
      <c r="HC359" s="253"/>
      <c r="HD359" s="253"/>
      <c r="HE359" s="253"/>
      <c r="HF359" s="253"/>
      <c r="HG359" s="253"/>
      <c r="HH359" s="253"/>
      <c r="HI359" s="253"/>
      <c r="HJ359" s="253"/>
      <c r="HK359" s="253"/>
      <c r="HL359" s="253"/>
      <c r="HM359" s="253"/>
      <c r="HN359" s="253"/>
      <c r="HO359" s="253"/>
      <c r="HP359" s="253"/>
      <c r="HQ359" s="253"/>
      <c r="HR359" s="253"/>
      <c r="HS359" s="253"/>
      <c r="HT359" s="253"/>
      <c r="HU359" s="253"/>
      <c r="HV359" s="253"/>
      <c r="HW359" s="253"/>
      <c r="HX359" s="253"/>
      <c r="HY359" s="253"/>
      <c r="HZ359" s="253"/>
      <c r="IA359" s="253"/>
      <c r="IB359" s="253"/>
      <c r="IC359" s="253"/>
      <c r="ID359" s="253"/>
      <c r="IE359" s="253"/>
      <c r="IF359" s="253"/>
    </row>
    <row r="360" spans="1:240" s="252" customFormat="1" x14ac:dyDescent="0.25">
      <c r="A360" s="56" t="s">
        <v>804</v>
      </c>
      <c r="B360" s="70" t="s">
        <v>805</v>
      </c>
      <c r="C360" s="238"/>
      <c r="D360" s="44" t="s">
        <v>55</v>
      </c>
      <c r="E360" s="59">
        <f t="shared" si="105"/>
        <v>2.5</v>
      </c>
      <c r="F360" s="59">
        <f>SUM(F361:F369)</f>
        <v>0</v>
      </c>
      <c r="G360" s="59">
        <f>SUM(G361:G369)</f>
        <v>2.5</v>
      </c>
      <c r="H360" s="59">
        <f>SUM(H361:H369)</f>
        <v>0.41000000000000003</v>
      </c>
      <c r="I360" s="59">
        <f t="shared" ref="I360:BG360" si="109">SUM(I361:I369)</f>
        <v>0</v>
      </c>
      <c r="J360" s="59">
        <f t="shared" si="109"/>
        <v>0</v>
      </c>
      <c r="K360" s="59">
        <f t="shared" si="109"/>
        <v>0.67</v>
      </c>
      <c r="L360" s="59">
        <f t="shared" si="109"/>
        <v>0.33</v>
      </c>
      <c r="M360" s="59">
        <f t="shared" si="109"/>
        <v>0</v>
      </c>
      <c r="N360" s="59">
        <f t="shared" si="109"/>
        <v>0</v>
      </c>
      <c r="O360" s="59">
        <f t="shared" si="109"/>
        <v>0</v>
      </c>
      <c r="P360" s="59">
        <f t="shared" si="109"/>
        <v>0</v>
      </c>
      <c r="Q360" s="59">
        <f t="shared" si="109"/>
        <v>0</v>
      </c>
      <c r="R360" s="59">
        <f t="shared" si="109"/>
        <v>0</v>
      </c>
      <c r="S360" s="59">
        <f t="shared" si="109"/>
        <v>0</v>
      </c>
      <c r="T360" s="59">
        <f t="shared" si="109"/>
        <v>0</v>
      </c>
      <c r="U360" s="71">
        <f t="shared" si="109"/>
        <v>0.45999999999999996</v>
      </c>
      <c r="V360" s="59">
        <f t="shared" si="109"/>
        <v>0.45999999999999996</v>
      </c>
      <c r="W360" s="59">
        <f t="shared" si="109"/>
        <v>0</v>
      </c>
      <c r="X360" s="59">
        <f t="shared" si="109"/>
        <v>0</v>
      </c>
      <c r="Y360" s="59">
        <f t="shared" si="109"/>
        <v>0.15</v>
      </c>
      <c r="Z360" s="59">
        <f t="shared" si="109"/>
        <v>0</v>
      </c>
      <c r="AA360" s="59">
        <f t="shared" si="109"/>
        <v>0</v>
      </c>
      <c r="AB360" s="59">
        <f t="shared" si="109"/>
        <v>0</v>
      </c>
      <c r="AC360" s="59">
        <f t="shared" si="109"/>
        <v>0</v>
      </c>
      <c r="AD360" s="59">
        <f t="shared" si="109"/>
        <v>0</v>
      </c>
      <c r="AE360" s="59">
        <f t="shared" si="109"/>
        <v>0</v>
      </c>
      <c r="AF360" s="59">
        <f t="shared" si="109"/>
        <v>0.1</v>
      </c>
      <c r="AG360" s="59">
        <f t="shared" si="109"/>
        <v>0</v>
      </c>
      <c r="AH360" s="59">
        <f t="shared" si="109"/>
        <v>0</v>
      </c>
      <c r="AI360" s="59">
        <f t="shared" si="109"/>
        <v>0</v>
      </c>
      <c r="AJ360" s="59">
        <f t="shared" si="109"/>
        <v>0</v>
      </c>
      <c r="AK360" s="59">
        <f t="shared" si="109"/>
        <v>0</v>
      </c>
      <c r="AL360" s="59">
        <f t="shared" si="109"/>
        <v>0.11</v>
      </c>
      <c r="AM360" s="59">
        <f t="shared" si="109"/>
        <v>0.2</v>
      </c>
      <c r="AN360" s="59">
        <f t="shared" si="109"/>
        <v>0</v>
      </c>
      <c r="AO360" s="59">
        <f t="shared" si="109"/>
        <v>0</v>
      </c>
      <c r="AP360" s="59">
        <f t="shared" si="109"/>
        <v>0</v>
      </c>
      <c r="AQ360" s="59">
        <f t="shared" si="109"/>
        <v>0</v>
      </c>
      <c r="AR360" s="59">
        <f t="shared" si="109"/>
        <v>0</v>
      </c>
      <c r="AS360" s="59">
        <f t="shared" si="109"/>
        <v>0</v>
      </c>
      <c r="AT360" s="59">
        <f t="shared" si="109"/>
        <v>0</v>
      </c>
      <c r="AU360" s="59">
        <f t="shared" si="109"/>
        <v>0</v>
      </c>
      <c r="AV360" s="59">
        <f t="shared" si="109"/>
        <v>0</v>
      </c>
      <c r="AW360" s="59">
        <f t="shared" si="109"/>
        <v>0</v>
      </c>
      <c r="AX360" s="59">
        <f t="shared" si="109"/>
        <v>0</v>
      </c>
      <c r="AY360" s="59">
        <f t="shared" si="109"/>
        <v>0</v>
      </c>
      <c r="AZ360" s="59">
        <f t="shared" si="109"/>
        <v>0</v>
      </c>
      <c r="BA360" s="59">
        <f t="shared" si="109"/>
        <v>0</v>
      </c>
      <c r="BB360" s="59">
        <f t="shared" si="109"/>
        <v>0</v>
      </c>
      <c r="BC360" s="59">
        <f t="shared" si="109"/>
        <v>0</v>
      </c>
      <c r="BD360" s="59">
        <f t="shared" si="109"/>
        <v>0</v>
      </c>
      <c r="BE360" s="59">
        <f t="shared" si="109"/>
        <v>0</v>
      </c>
      <c r="BF360" s="59">
        <f t="shared" si="109"/>
        <v>0</v>
      </c>
      <c r="BG360" s="59">
        <f t="shared" si="109"/>
        <v>7.0000000000000007E-2</v>
      </c>
      <c r="BH360" s="238"/>
      <c r="BI360" s="238"/>
      <c r="BJ360" s="238"/>
      <c r="BK360" s="238"/>
      <c r="BL360" s="238"/>
      <c r="BM360" s="238"/>
    </row>
    <row r="361" spans="1:240" s="253" customFormat="1" ht="31.5" x14ac:dyDescent="0.25">
      <c r="A361" s="215">
        <f>A359+1</f>
        <v>240</v>
      </c>
      <c r="B361" s="35" t="s">
        <v>806</v>
      </c>
      <c r="C361" s="223" t="s">
        <v>65</v>
      </c>
      <c r="D361" s="243" t="s">
        <v>55</v>
      </c>
      <c r="E361" s="20">
        <f t="shared" si="105"/>
        <v>0.2</v>
      </c>
      <c r="F361" s="20"/>
      <c r="G361" s="28">
        <f t="shared" ref="G361:G369" si="110">SUM(H361:M361,Q361,U361,Y361:BG361)</f>
        <v>0.2</v>
      </c>
      <c r="H361" s="235"/>
      <c r="I361" s="235"/>
      <c r="J361" s="235"/>
      <c r="K361" s="235"/>
      <c r="L361" s="235"/>
      <c r="M361" s="235"/>
      <c r="N361" s="235"/>
      <c r="O361" s="235"/>
      <c r="P361" s="235"/>
      <c r="Q361" s="235">
        <f>SUM(R361:T361)</f>
        <v>0</v>
      </c>
      <c r="R361" s="235"/>
      <c r="S361" s="235"/>
      <c r="T361" s="235"/>
      <c r="U361" s="222">
        <f>SUM(V361:X361)</f>
        <v>0</v>
      </c>
      <c r="V361" s="222"/>
      <c r="W361" s="235"/>
      <c r="X361" s="235"/>
      <c r="Y361" s="235"/>
      <c r="Z361" s="235"/>
      <c r="AA361" s="235"/>
      <c r="AB361" s="235"/>
      <c r="AC361" s="235"/>
      <c r="AD361" s="235"/>
      <c r="AE361" s="235"/>
      <c r="AF361" s="235"/>
      <c r="AG361" s="235"/>
      <c r="AH361" s="235"/>
      <c r="AI361" s="235"/>
      <c r="AJ361" s="235"/>
      <c r="AK361" s="235"/>
      <c r="AL361" s="235"/>
      <c r="AM361" s="235">
        <v>0.2</v>
      </c>
      <c r="AN361" s="235"/>
      <c r="AO361" s="235"/>
      <c r="AP361" s="235"/>
      <c r="AQ361" s="235"/>
      <c r="AR361" s="235"/>
      <c r="AS361" s="235"/>
      <c r="AT361" s="235"/>
      <c r="AU361" s="235"/>
      <c r="AV361" s="235"/>
      <c r="AW361" s="235"/>
      <c r="AX361" s="235"/>
      <c r="AY361" s="235"/>
      <c r="AZ361" s="235"/>
      <c r="BA361" s="235"/>
      <c r="BB361" s="235"/>
      <c r="BC361" s="235"/>
      <c r="BD361" s="235"/>
      <c r="BE361" s="235"/>
      <c r="BF361" s="235"/>
      <c r="BG361" s="235"/>
      <c r="BH361" s="235" t="s">
        <v>197</v>
      </c>
      <c r="BI361" s="223" t="s">
        <v>65</v>
      </c>
      <c r="BJ361" s="223" t="s">
        <v>807</v>
      </c>
      <c r="BK361" s="25" t="s">
        <v>120</v>
      </c>
      <c r="BL361" s="218" t="s">
        <v>1013</v>
      </c>
      <c r="BM361" s="226" t="s">
        <v>1026</v>
      </c>
    </row>
    <row r="362" spans="1:240" s="252" customFormat="1" ht="47.25" x14ac:dyDescent="0.25">
      <c r="A362" s="407">
        <f>A361+1</f>
        <v>241</v>
      </c>
      <c r="B362" s="423" t="s">
        <v>808</v>
      </c>
      <c r="C362" s="238" t="s">
        <v>82</v>
      </c>
      <c r="D362" s="238" t="s">
        <v>55</v>
      </c>
      <c r="E362" s="78">
        <f t="shared" si="105"/>
        <v>0.16</v>
      </c>
      <c r="F362" s="73"/>
      <c r="G362" s="28">
        <f t="shared" si="110"/>
        <v>0.16</v>
      </c>
      <c r="H362" s="238"/>
      <c r="I362" s="238"/>
      <c r="J362" s="238"/>
      <c r="K362" s="238">
        <v>0.05</v>
      </c>
      <c r="L362" s="238"/>
      <c r="M362" s="238"/>
      <c r="N362" s="238"/>
      <c r="O362" s="238"/>
      <c r="P362" s="238"/>
      <c r="Q362" s="238"/>
      <c r="R362" s="238"/>
      <c r="S362" s="238"/>
      <c r="T362" s="238"/>
      <c r="U362" s="222">
        <f t="shared" ref="U362:U368" si="111">SUM(V362:X362)</f>
        <v>0</v>
      </c>
      <c r="V362" s="222"/>
      <c r="W362" s="238"/>
      <c r="X362" s="238"/>
      <c r="Y362" s="238"/>
      <c r="Z362" s="238"/>
      <c r="AA362" s="238"/>
      <c r="AB362" s="238"/>
      <c r="AC362" s="238"/>
      <c r="AD362" s="238"/>
      <c r="AE362" s="238"/>
      <c r="AF362" s="238"/>
      <c r="AG362" s="238"/>
      <c r="AH362" s="238"/>
      <c r="AI362" s="238"/>
      <c r="AJ362" s="238"/>
      <c r="AK362" s="238"/>
      <c r="AL362" s="238">
        <v>0.11</v>
      </c>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t="s">
        <v>1106</v>
      </c>
      <c r="BI362" s="238" t="s">
        <v>82</v>
      </c>
      <c r="BJ362" s="238" t="s">
        <v>1107</v>
      </c>
      <c r="BK362" s="241" t="s">
        <v>120</v>
      </c>
      <c r="BL362" s="218" t="s">
        <v>202</v>
      </c>
      <c r="BM362" s="226" t="s">
        <v>206</v>
      </c>
    </row>
    <row r="363" spans="1:240" s="252" customFormat="1" ht="31.5" x14ac:dyDescent="0.25">
      <c r="A363" s="407"/>
      <c r="B363" s="423"/>
      <c r="C363" s="90" t="s">
        <v>138</v>
      </c>
      <c r="D363" s="218" t="s">
        <v>55</v>
      </c>
      <c r="E363" s="28">
        <f t="shared" si="105"/>
        <v>0.2</v>
      </c>
      <c r="F363" s="20"/>
      <c r="G363" s="28">
        <f t="shared" si="110"/>
        <v>0.2</v>
      </c>
      <c r="H363" s="62"/>
      <c r="I363" s="62"/>
      <c r="J363" s="62"/>
      <c r="K363" s="62">
        <v>0.2</v>
      </c>
      <c r="L363" s="62"/>
      <c r="M363" s="62"/>
      <c r="N363" s="62"/>
      <c r="O363" s="62"/>
      <c r="P363" s="62"/>
      <c r="Q363" s="62"/>
      <c r="R363" s="62"/>
      <c r="S363" s="62"/>
      <c r="T363" s="62"/>
      <c r="U363" s="222">
        <f t="shared" si="111"/>
        <v>0</v>
      </c>
      <c r="V363" s="92"/>
      <c r="W363" s="49"/>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218" t="s">
        <v>1108</v>
      </c>
      <c r="BI363" s="90" t="s">
        <v>138</v>
      </c>
      <c r="BJ363" s="218" t="s">
        <v>1109</v>
      </c>
      <c r="BK363" s="66" t="s">
        <v>398</v>
      </c>
      <c r="BL363" s="218" t="s">
        <v>202</v>
      </c>
      <c r="BM363" s="218" t="s">
        <v>206</v>
      </c>
    </row>
    <row r="364" spans="1:240" s="252" customFormat="1" ht="31.5" x14ac:dyDescent="0.25">
      <c r="A364" s="407"/>
      <c r="B364" s="423"/>
      <c r="C364" s="90" t="s">
        <v>150</v>
      </c>
      <c r="D364" s="218" t="s">
        <v>55</v>
      </c>
      <c r="E364" s="28">
        <f t="shared" ref="E364:E369" si="112">F364+G364</f>
        <v>1.1000000000000001</v>
      </c>
      <c r="F364" s="20"/>
      <c r="G364" s="28">
        <f t="shared" si="110"/>
        <v>1.1000000000000001</v>
      </c>
      <c r="H364" s="62">
        <f>0.51-0.25</f>
        <v>0.26</v>
      </c>
      <c r="I364" s="62"/>
      <c r="J364" s="62"/>
      <c r="K364" s="62">
        <f>0.12-0.05</f>
        <v>6.9999999999999993E-2</v>
      </c>
      <c r="L364" s="62">
        <f>0.33-0.05</f>
        <v>0.28000000000000003</v>
      </c>
      <c r="M364" s="62"/>
      <c r="N364" s="62"/>
      <c r="O364" s="62"/>
      <c r="P364" s="62"/>
      <c r="Q364" s="62"/>
      <c r="R364" s="62"/>
      <c r="S364" s="62"/>
      <c r="T364" s="62"/>
      <c r="U364" s="222">
        <f t="shared" si="111"/>
        <v>0.24</v>
      </c>
      <c r="V364" s="92">
        <f>0.29-0.05</f>
        <v>0.24</v>
      </c>
      <c r="W364" s="49"/>
      <c r="X364" s="62"/>
      <c r="Y364" s="62">
        <v>0.15</v>
      </c>
      <c r="Z364" s="62"/>
      <c r="AA364" s="62"/>
      <c r="AB364" s="62"/>
      <c r="AC364" s="62"/>
      <c r="AD364" s="62"/>
      <c r="AE364" s="62"/>
      <c r="AF364" s="62">
        <v>0.1</v>
      </c>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235" t="s">
        <v>212</v>
      </c>
      <c r="BI364" s="90" t="s">
        <v>150</v>
      </c>
      <c r="BJ364" s="218" t="s">
        <v>809</v>
      </c>
      <c r="BK364" s="66" t="s">
        <v>398</v>
      </c>
      <c r="BL364" s="218" t="s">
        <v>202</v>
      </c>
      <c r="BM364" s="226" t="s">
        <v>206</v>
      </c>
    </row>
    <row r="365" spans="1:240" s="252" customFormat="1" x14ac:dyDescent="0.25">
      <c r="A365" s="407"/>
      <c r="B365" s="423"/>
      <c r="C365" s="90" t="s">
        <v>99</v>
      </c>
      <c r="D365" s="218" t="s">
        <v>55</v>
      </c>
      <c r="E365" s="28">
        <f t="shared" si="112"/>
        <v>0.05</v>
      </c>
      <c r="F365" s="20"/>
      <c r="G365" s="28">
        <f t="shared" si="110"/>
        <v>0.05</v>
      </c>
      <c r="H365" s="62"/>
      <c r="I365" s="62"/>
      <c r="J365" s="62"/>
      <c r="K365" s="62"/>
      <c r="L365" s="62">
        <v>0.05</v>
      </c>
      <c r="M365" s="62"/>
      <c r="N365" s="62"/>
      <c r="O365" s="62"/>
      <c r="P365" s="62"/>
      <c r="Q365" s="62"/>
      <c r="R365" s="62"/>
      <c r="S365" s="62"/>
      <c r="T365" s="62"/>
      <c r="U365" s="222">
        <f t="shared" si="111"/>
        <v>0</v>
      </c>
      <c r="V365" s="92"/>
      <c r="W365" s="49"/>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235" t="s">
        <v>100</v>
      </c>
      <c r="BI365" s="90" t="s">
        <v>99</v>
      </c>
      <c r="BJ365" s="218" t="s">
        <v>1045</v>
      </c>
      <c r="BK365" s="66" t="s">
        <v>398</v>
      </c>
      <c r="BL365" s="218" t="s">
        <v>202</v>
      </c>
      <c r="BM365" s="226" t="s">
        <v>206</v>
      </c>
    </row>
    <row r="366" spans="1:240" s="252" customFormat="1" ht="31.5" customHeight="1" x14ac:dyDescent="0.25">
      <c r="A366" s="407">
        <f>A362</f>
        <v>241</v>
      </c>
      <c r="B366" s="423" t="s">
        <v>808</v>
      </c>
      <c r="C366" s="223" t="s">
        <v>95</v>
      </c>
      <c r="D366" s="243" t="s">
        <v>55</v>
      </c>
      <c r="E366" s="20">
        <f t="shared" si="112"/>
        <v>0.19999999999999998</v>
      </c>
      <c r="F366" s="20"/>
      <c r="G366" s="28">
        <f t="shared" si="110"/>
        <v>0.19999999999999998</v>
      </c>
      <c r="H366" s="73">
        <v>0.15</v>
      </c>
      <c r="I366" s="73"/>
      <c r="J366" s="73"/>
      <c r="K366" s="73">
        <v>0.02</v>
      </c>
      <c r="L366" s="73"/>
      <c r="M366" s="73"/>
      <c r="N366" s="73"/>
      <c r="O366" s="73"/>
      <c r="P366" s="73"/>
      <c r="Q366" s="73"/>
      <c r="R366" s="73"/>
      <c r="S366" s="73"/>
      <c r="T366" s="73"/>
      <c r="U366" s="222">
        <f t="shared" si="111"/>
        <v>0</v>
      </c>
      <c r="V366" s="30"/>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v>0.03</v>
      </c>
      <c r="BH366" s="235" t="s">
        <v>96</v>
      </c>
      <c r="BI366" s="223" t="s">
        <v>95</v>
      </c>
      <c r="BJ366" s="223" t="s">
        <v>810</v>
      </c>
      <c r="BK366" s="66" t="s">
        <v>120</v>
      </c>
      <c r="BL366" s="218" t="s">
        <v>202</v>
      </c>
      <c r="BM366" s="226" t="s">
        <v>206</v>
      </c>
    </row>
    <row r="367" spans="1:240" s="252" customFormat="1" x14ac:dyDescent="0.25">
      <c r="A367" s="407"/>
      <c r="B367" s="423"/>
      <c r="C367" s="226" t="s">
        <v>79</v>
      </c>
      <c r="D367" s="218" t="s">
        <v>55</v>
      </c>
      <c r="E367" s="20">
        <f t="shared" si="112"/>
        <v>0.04</v>
      </c>
      <c r="F367" s="20"/>
      <c r="G367" s="28">
        <f t="shared" si="110"/>
        <v>0.04</v>
      </c>
      <c r="H367" s="49"/>
      <c r="I367" s="49"/>
      <c r="J367" s="62"/>
      <c r="K367" s="49"/>
      <c r="L367" s="49"/>
      <c r="M367" s="49"/>
      <c r="N367" s="49"/>
      <c r="O367" s="49"/>
      <c r="P367" s="62"/>
      <c r="Q367" s="62"/>
      <c r="R367" s="62"/>
      <c r="S367" s="62"/>
      <c r="T367" s="62"/>
      <c r="U367" s="222">
        <f t="shared" si="111"/>
        <v>0</v>
      </c>
      <c r="V367" s="30"/>
      <c r="W367" s="73"/>
      <c r="X367" s="73"/>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v>0.04</v>
      </c>
      <c r="BH367" s="63" t="s">
        <v>72</v>
      </c>
      <c r="BI367" s="226" t="s">
        <v>79</v>
      </c>
      <c r="BJ367" s="152" t="s">
        <v>811</v>
      </c>
      <c r="BK367" s="233" t="s">
        <v>120</v>
      </c>
      <c r="BL367" s="218" t="s">
        <v>202</v>
      </c>
      <c r="BM367" s="218" t="s">
        <v>206</v>
      </c>
    </row>
    <row r="368" spans="1:240" s="252" customFormat="1" x14ac:dyDescent="0.25">
      <c r="A368" s="407"/>
      <c r="B368" s="423"/>
      <c r="C368" s="226" t="s">
        <v>87</v>
      </c>
      <c r="D368" s="218" t="s">
        <v>55</v>
      </c>
      <c r="E368" s="20">
        <f t="shared" si="112"/>
        <v>0.3</v>
      </c>
      <c r="F368" s="20"/>
      <c r="G368" s="28">
        <f t="shared" si="110"/>
        <v>0.3</v>
      </c>
      <c r="H368" s="49"/>
      <c r="I368" s="49"/>
      <c r="J368" s="62"/>
      <c r="K368" s="49">
        <v>0.08</v>
      </c>
      <c r="L368" s="49"/>
      <c r="M368" s="49"/>
      <c r="N368" s="49"/>
      <c r="O368" s="49"/>
      <c r="P368" s="62"/>
      <c r="Q368" s="62"/>
      <c r="R368" s="62"/>
      <c r="S368" s="62"/>
      <c r="T368" s="62"/>
      <c r="U368" s="222">
        <f t="shared" si="111"/>
        <v>0.22</v>
      </c>
      <c r="V368" s="30">
        <v>0.22</v>
      </c>
      <c r="W368" s="73"/>
      <c r="X368" s="73"/>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3" t="s">
        <v>131</v>
      </c>
      <c r="BI368" s="226" t="s">
        <v>87</v>
      </c>
      <c r="BJ368" s="152" t="s">
        <v>812</v>
      </c>
      <c r="BK368" s="233" t="s">
        <v>120</v>
      </c>
      <c r="BL368" s="218" t="s">
        <v>202</v>
      </c>
      <c r="BM368" s="218" t="s">
        <v>206</v>
      </c>
    </row>
    <row r="369" spans="1:65" s="252" customFormat="1" x14ac:dyDescent="0.25">
      <c r="A369" s="407"/>
      <c r="B369" s="423"/>
      <c r="C369" s="223" t="s">
        <v>106</v>
      </c>
      <c r="D369" s="33" t="s">
        <v>55</v>
      </c>
      <c r="E369" s="28">
        <f t="shared" si="112"/>
        <v>0.25</v>
      </c>
      <c r="F369" s="21"/>
      <c r="G369" s="28">
        <f t="shared" si="110"/>
        <v>0.25</v>
      </c>
      <c r="H369" s="235"/>
      <c r="I369" s="235"/>
      <c r="J369" s="235"/>
      <c r="K369" s="235">
        <v>0.25</v>
      </c>
      <c r="L369" s="235"/>
      <c r="M369" s="235">
        <f>SUM(N369:P369)</f>
        <v>0</v>
      </c>
      <c r="N369" s="235"/>
      <c r="O369" s="235"/>
      <c r="P369" s="235"/>
      <c r="Q369" s="235"/>
      <c r="R369" s="235"/>
      <c r="S369" s="235"/>
      <c r="T369" s="235"/>
      <c r="U369" s="222">
        <f>SUM(V369:X369)</f>
        <v>0</v>
      </c>
      <c r="V369" s="222"/>
      <c r="W369" s="235"/>
      <c r="X369" s="235"/>
      <c r="Y369" s="235"/>
      <c r="Z369" s="235"/>
      <c r="AA369" s="235"/>
      <c r="AB369" s="235"/>
      <c r="AC369" s="235"/>
      <c r="AD369" s="235"/>
      <c r="AE369" s="60"/>
      <c r="AF369" s="235"/>
      <c r="AG369" s="235"/>
      <c r="AH369" s="235"/>
      <c r="AI369" s="235"/>
      <c r="AJ369" s="235"/>
      <c r="AK369" s="235"/>
      <c r="AL369" s="235"/>
      <c r="AM369" s="235"/>
      <c r="AN369" s="235"/>
      <c r="AO369" s="235"/>
      <c r="AP369" s="235"/>
      <c r="AQ369" s="235"/>
      <c r="AR369" s="235"/>
      <c r="AS369" s="235"/>
      <c r="AT369" s="235"/>
      <c r="AU369" s="235"/>
      <c r="AV369" s="235"/>
      <c r="AW369" s="235"/>
      <c r="AX369" s="235"/>
      <c r="AY369" s="235"/>
      <c r="AZ369" s="235"/>
      <c r="BA369" s="235"/>
      <c r="BB369" s="235"/>
      <c r="BC369" s="235"/>
      <c r="BD369" s="235"/>
      <c r="BE369" s="235"/>
      <c r="BF369" s="235"/>
      <c r="BG369" s="235"/>
      <c r="BH369" s="235" t="s">
        <v>813</v>
      </c>
      <c r="BI369" s="223" t="s">
        <v>106</v>
      </c>
      <c r="BJ369" s="223" t="s">
        <v>814</v>
      </c>
      <c r="BK369" s="241" t="s">
        <v>120</v>
      </c>
      <c r="BL369" s="218" t="s">
        <v>202</v>
      </c>
      <c r="BM369" s="218" t="s">
        <v>206</v>
      </c>
    </row>
    <row r="370" spans="1:65" s="253" customFormat="1" x14ac:dyDescent="0.25">
      <c r="A370" s="305" t="s">
        <v>815</v>
      </c>
      <c r="B370" s="276" t="s">
        <v>816</v>
      </c>
      <c r="C370" s="278"/>
      <c r="D370" s="306"/>
      <c r="E370" s="277">
        <f t="shared" si="105"/>
        <v>173.602</v>
      </c>
      <c r="F370" s="307">
        <f>F371+F381+F440+F444+F450+F468</f>
        <v>0.03</v>
      </c>
      <c r="G370" s="307">
        <f>G371+G381+G440+G444+G450+G468</f>
        <v>173.572</v>
      </c>
      <c r="H370" s="307">
        <f t="shared" ref="H370:AM370" si="113">H371+H381+H440+H444+H450+H468</f>
        <v>29.330000000000002</v>
      </c>
      <c r="I370" s="307">
        <f t="shared" si="113"/>
        <v>11.17</v>
      </c>
      <c r="J370" s="307">
        <f t="shared" si="113"/>
        <v>0</v>
      </c>
      <c r="K370" s="307">
        <f t="shared" si="113"/>
        <v>29.75</v>
      </c>
      <c r="L370" s="307">
        <f t="shared" si="113"/>
        <v>26.84</v>
      </c>
      <c r="M370" s="307">
        <f t="shared" si="113"/>
        <v>0</v>
      </c>
      <c r="N370" s="307">
        <f t="shared" si="113"/>
        <v>0</v>
      </c>
      <c r="O370" s="307">
        <f t="shared" si="113"/>
        <v>0</v>
      </c>
      <c r="P370" s="307">
        <f t="shared" si="113"/>
        <v>0</v>
      </c>
      <c r="Q370" s="307">
        <f t="shared" si="113"/>
        <v>0</v>
      </c>
      <c r="R370" s="307">
        <f t="shared" si="113"/>
        <v>0</v>
      </c>
      <c r="S370" s="307">
        <f t="shared" si="113"/>
        <v>0</v>
      </c>
      <c r="T370" s="307">
        <f t="shared" si="113"/>
        <v>0</v>
      </c>
      <c r="U370" s="275">
        <f t="shared" si="113"/>
        <v>55.162000000000006</v>
      </c>
      <c r="V370" s="307">
        <f t="shared" si="113"/>
        <v>47.362000000000002</v>
      </c>
      <c r="W370" s="307">
        <f t="shared" si="113"/>
        <v>6.11</v>
      </c>
      <c r="X370" s="307">
        <f t="shared" si="113"/>
        <v>1.69</v>
      </c>
      <c r="Y370" s="307">
        <f t="shared" si="113"/>
        <v>2.2599999999999998</v>
      </c>
      <c r="Z370" s="307">
        <f t="shared" si="113"/>
        <v>0</v>
      </c>
      <c r="AA370" s="307">
        <f t="shared" si="113"/>
        <v>0</v>
      </c>
      <c r="AB370" s="307">
        <f t="shared" si="113"/>
        <v>0</v>
      </c>
      <c r="AC370" s="307">
        <f t="shared" si="113"/>
        <v>0.08</v>
      </c>
      <c r="AD370" s="307">
        <f t="shared" si="113"/>
        <v>9.9999999999999992E-2</v>
      </c>
      <c r="AE370" s="307">
        <f t="shared" si="113"/>
        <v>0</v>
      </c>
      <c r="AF370" s="307">
        <f t="shared" si="113"/>
        <v>5.91</v>
      </c>
      <c r="AG370" s="307">
        <f t="shared" si="113"/>
        <v>0.54</v>
      </c>
      <c r="AH370" s="307">
        <f t="shared" si="113"/>
        <v>0</v>
      </c>
      <c r="AI370" s="307">
        <f t="shared" si="113"/>
        <v>0.16</v>
      </c>
      <c r="AJ370" s="307">
        <f t="shared" si="113"/>
        <v>0</v>
      </c>
      <c r="AK370" s="307">
        <f t="shared" si="113"/>
        <v>0.05</v>
      </c>
      <c r="AL370" s="307">
        <f t="shared" si="113"/>
        <v>0.03</v>
      </c>
      <c r="AM370" s="307">
        <f t="shared" si="113"/>
        <v>0</v>
      </c>
      <c r="AN370" s="307">
        <f t="shared" ref="AN370:BG370" si="114">AN371+AN381+AN440+AN444+AN450+AN468</f>
        <v>0</v>
      </c>
      <c r="AO370" s="307">
        <f t="shared" si="114"/>
        <v>0</v>
      </c>
      <c r="AP370" s="307">
        <f t="shared" si="114"/>
        <v>0</v>
      </c>
      <c r="AQ370" s="307">
        <f t="shared" si="114"/>
        <v>0</v>
      </c>
      <c r="AR370" s="307">
        <f t="shared" si="114"/>
        <v>0</v>
      </c>
      <c r="AS370" s="307">
        <f t="shared" si="114"/>
        <v>0</v>
      </c>
      <c r="AT370" s="307">
        <f t="shared" si="114"/>
        <v>2.6799999999999997</v>
      </c>
      <c r="AU370" s="307">
        <f t="shared" si="114"/>
        <v>2.2400000000000002</v>
      </c>
      <c r="AV370" s="307">
        <f t="shared" si="114"/>
        <v>0</v>
      </c>
      <c r="AW370" s="307">
        <f t="shared" si="114"/>
        <v>0</v>
      </c>
      <c r="AX370" s="307">
        <f t="shared" si="114"/>
        <v>0</v>
      </c>
      <c r="AY370" s="307">
        <f t="shared" si="114"/>
        <v>0</v>
      </c>
      <c r="AZ370" s="307">
        <f t="shared" si="114"/>
        <v>0</v>
      </c>
      <c r="BA370" s="307">
        <f t="shared" si="114"/>
        <v>0</v>
      </c>
      <c r="BB370" s="307">
        <f t="shared" si="114"/>
        <v>0</v>
      </c>
      <c r="BC370" s="307">
        <f t="shared" si="114"/>
        <v>0</v>
      </c>
      <c r="BD370" s="307">
        <f t="shared" si="114"/>
        <v>2.4899999999999998</v>
      </c>
      <c r="BE370" s="307">
        <f t="shared" si="114"/>
        <v>0</v>
      </c>
      <c r="BF370" s="307">
        <f t="shared" si="114"/>
        <v>0.04</v>
      </c>
      <c r="BG370" s="307">
        <f t="shared" si="114"/>
        <v>4.74</v>
      </c>
      <c r="BH370" s="275"/>
      <c r="BI370" s="278"/>
      <c r="BJ370" s="278"/>
      <c r="BK370" s="278"/>
      <c r="BL370" s="278"/>
      <c r="BM370" s="275"/>
    </row>
    <row r="371" spans="1:65" s="257" customFormat="1" x14ac:dyDescent="0.25">
      <c r="A371" s="275" t="s">
        <v>330</v>
      </c>
      <c r="B371" s="276" t="s">
        <v>817</v>
      </c>
      <c r="C371" s="275"/>
      <c r="D371" s="275"/>
      <c r="E371" s="277">
        <f t="shared" si="105"/>
        <v>27.029999999999994</v>
      </c>
      <c r="F371" s="277">
        <f>SUM(F372,F377)</f>
        <v>0</v>
      </c>
      <c r="G371" s="277">
        <f t="shared" ref="G371:BG371" si="115">SUM(G372,G377)</f>
        <v>27.029999999999994</v>
      </c>
      <c r="H371" s="277">
        <f>SUM(H372,H377)</f>
        <v>5.56</v>
      </c>
      <c r="I371" s="277">
        <f t="shared" si="115"/>
        <v>3.7800000000000002</v>
      </c>
      <c r="J371" s="277">
        <f t="shared" si="115"/>
        <v>0</v>
      </c>
      <c r="K371" s="277">
        <f t="shared" si="115"/>
        <v>3.39</v>
      </c>
      <c r="L371" s="277">
        <f t="shared" si="115"/>
        <v>2.3299999999999996</v>
      </c>
      <c r="M371" s="277">
        <f t="shared" si="115"/>
        <v>0</v>
      </c>
      <c r="N371" s="277">
        <f t="shared" si="115"/>
        <v>0</v>
      </c>
      <c r="O371" s="277">
        <f t="shared" si="115"/>
        <v>0</v>
      </c>
      <c r="P371" s="277">
        <f t="shared" si="115"/>
        <v>0</v>
      </c>
      <c r="Q371" s="277">
        <f t="shared" si="115"/>
        <v>0</v>
      </c>
      <c r="R371" s="277">
        <f t="shared" si="115"/>
        <v>0</v>
      </c>
      <c r="S371" s="277">
        <f t="shared" si="115"/>
        <v>0</v>
      </c>
      <c r="T371" s="277">
        <f t="shared" si="115"/>
        <v>0</v>
      </c>
      <c r="U371" s="278">
        <f t="shared" si="115"/>
        <v>8.0599999999999987</v>
      </c>
      <c r="V371" s="277">
        <f t="shared" si="115"/>
        <v>8.0599999999999987</v>
      </c>
      <c r="W371" s="277">
        <f t="shared" si="115"/>
        <v>0</v>
      </c>
      <c r="X371" s="277">
        <f t="shared" si="115"/>
        <v>0</v>
      </c>
      <c r="Y371" s="277">
        <f t="shared" si="115"/>
        <v>0</v>
      </c>
      <c r="Z371" s="277">
        <f t="shared" si="115"/>
        <v>0</v>
      </c>
      <c r="AA371" s="277">
        <f t="shared" si="115"/>
        <v>0</v>
      </c>
      <c r="AB371" s="277">
        <f t="shared" si="115"/>
        <v>0</v>
      </c>
      <c r="AC371" s="277">
        <f t="shared" si="115"/>
        <v>0</v>
      </c>
      <c r="AD371" s="277">
        <f t="shared" si="115"/>
        <v>0</v>
      </c>
      <c r="AE371" s="277">
        <f t="shared" si="115"/>
        <v>0</v>
      </c>
      <c r="AF371" s="277">
        <f t="shared" si="115"/>
        <v>2.38</v>
      </c>
      <c r="AG371" s="277">
        <f t="shared" si="115"/>
        <v>0.02</v>
      </c>
      <c r="AH371" s="277">
        <f t="shared" si="115"/>
        <v>0</v>
      </c>
      <c r="AI371" s="277">
        <f t="shared" si="115"/>
        <v>0</v>
      </c>
      <c r="AJ371" s="277">
        <f t="shared" si="115"/>
        <v>0</v>
      </c>
      <c r="AK371" s="277">
        <f t="shared" si="115"/>
        <v>0</v>
      </c>
      <c r="AL371" s="277">
        <f t="shared" si="115"/>
        <v>0</v>
      </c>
      <c r="AM371" s="277">
        <f t="shared" si="115"/>
        <v>0</v>
      </c>
      <c r="AN371" s="277">
        <f t="shared" si="115"/>
        <v>0</v>
      </c>
      <c r="AO371" s="277">
        <f t="shared" si="115"/>
        <v>0</v>
      </c>
      <c r="AP371" s="277">
        <f t="shared" si="115"/>
        <v>0</v>
      </c>
      <c r="AQ371" s="277">
        <f t="shared" si="115"/>
        <v>0</v>
      </c>
      <c r="AR371" s="277">
        <f t="shared" si="115"/>
        <v>0</v>
      </c>
      <c r="AS371" s="277">
        <f t="shared" si="115"/>
        <v>0</v>
      </c>
      <c r="AT371" s="277">
        <f t="shared" si="115"/>
        <v>0</v>
      </c>
      <c r="AU371" s="277">
        <f t="shared" si="115"/>
        <v>1.2000000000000002</v>
      </c>
      <c r="AV371" s="277">
        <f t="shared" si="115"/>
        <v>0</v>
      </c>
      <c r="AW371" s="277">
        <f t="shared" si="115"/>
        <v>0</v>
      </c>
      <c r="AX371" s="277">
        <f t="shared" si="115"/>
        <v>0</v>
      </c>
      <c r="AY371" s="277">
        <f t="shared" si="115"/>
        <v>0</v>
      </c>
      <c r="AZ371" s="277">
        <f t="shared" si="115"/>
        <v>0</v>
      </c>
      <c r="BA371" s="277">
        <f t="shared" si="115"/>
        <v>0</v>
      </c>
      <c r="BB371" s="277">
        <f t="shared" si="115"/>
        <v>0</v>
      </c>
      <c r="BC371" s="277">
        <f t="shared" si="115"/>
        <v>0</v>
      </c>
      <c r="BD371" s="277">
        <f t="shared" si="115"/>
        <v>0.31</v>
      </c>
      <c r="BE371" s="277">
        <f t="shared" si="115"/>
        <v>0</v>
      </c>
      <c r="BF371" s="277">
        <f t="shared" si="115"/>
        <v>0</v>
      </c>
      <c r="BG371" s="277">
        <f t="shared" si="115"/>
        <v>0</v>
      </c>
      <c r="BH371" s="278"/>
      <c r="BI371" s="275"/>
      <c r="BJ371" s="275"/>
      <c r="BK371" s="275"/>
      <c r="BL371" s="278"/>
      <c r="BM371" s="275"/>
    </row>
    <row r="372" spans="1:65" s="255" customFormat="1" ht="31.5" x14ac:dyDescent="0.25">
      <c r="A372" s="422">
        <f>A362+1</f>
        <v>242</v>
      </c>
      <c r="B372" s="308" t="s">
        <v>818</v>
      </c>
      <c r="C372" s="424" t="s">
        <v>82</v>
      </c>
      <c r="D372" s="283"/>
      <c r="E372" s="265">
        <f t="shared" si="105"/>
        <v>9.6999999999999975</v>
      </c>
      <c r="F372" s="267"/>
      <c r="G372" s="267">
        <f>SUM(H372:M372,Q372,U372,Y372:BG372)</f>
        <v>9.6999999999999975</v>
      </c>
      <c r="H372" s="282">
        <v>0.47</v>
      </c>
      <c r="I372" s="282">
        <v>0.28000000000000003</v>
      </c>
      <c r="J372" s="282"/>
      <c r="K372" s="282">
        <v>0.52</v>
      </c>
      <c r="L372" s="282">
        <v>0.27</v>
      </c>
      <c r="M372" s="282"/>
      <c r="N372" s="282"/>
      <c r="O372" s="282"/>
      <c r="P372" s="282"/>
      <c r="Q372" s="282"/>
      <c r="R372" s="282"/>
      <c r="S372" s="282"/>
      <c r="T372" s="282"/>
      <c r="U372" s="283">
        <f>SUM(V372:X372)</f>
        <v>8.0599999999999987</v>
      </c>
      <c r="V372" s="282">
        <f>9.7-1.64</f>
        <v>8.0599999999999987</v>
      </c>
      <c r="W372" s="282"/>
      <c r="X372" s="282"/>
      <c r="Y372" s="282"/>
      <c r="Z372" s="282"/>
      <c r="AA372" s="282"/>
      <c r="AB372" s="282"/>
      <c r="AC372" s="282"/>
      <c r="AD372" s="282"/>
      <c r="AE372" s="282"/>
      <c r="AF372" s="282">
        <v>0.08</v>
      </c>
      <c r="AG372" s="282">
        <v>0.02</v>
      </c>
      <c r="AH372" s="282"/>
      <c r="AI372" s="282"/>
      <c r="AJ372" s="282"/>
      <c r="AK372" s="282"/>
      <c r="AL372" s="282"/>
      <c r="AM372" s="282"/>
      <c r="AN372" s="282"/>
      <c r="AO372" s="282"/>
      <c r="AP372" s="282"/>
      <c r="AQ372" s="282"/>
      <c r="AR372" s="282"/>
      <c r="AS372" s="282"/>
      <c r="AT372" s="282"/>
      <c r="AU372" s="282"/>
      <c r="AV372" s="282"/>
      <c r="AW372" s="282"/>
      <c r="AX372" s="282"/>
      <c r="AY372" s="282"/>
      <c r="AZ372" s="282"/>
      <c r="BA372" s="282"/>
      <c r="BB372" s="282"/>
      <c r="BC372" s="282"/>
      <c r="BD372" s="282"/>
      <c r="BE372" s="282"/>
      <c r="BF372" s="282"/>
      <c r="BG372" s="282"/>
      <c r="BH372" s="436" t="s">
        <v>819</v>
      </c>
      <c r="BI372" s="424" t="s">
        <v>82</v>
      </c>
      <c r="BJ372" s="424" t="s">
        <v>820</v>
      </c>
      <c r="BK372" s="414" t="s">
        <v>120</v>
      </c>
      <c r="BL372" s="434" t="s">
        <v>361</v>
      </c>
      <c r="BM372" s="430" t="s">
        <v>206</v>
      </c>
    </row>
    <row r="373" spans="1:65" s="255" customFormat="1" x14ac:dyDescent="0.25">
      <c r="A373" s="422"/>
      <c r="B373" s="289" t="s">
        <v>48</v>
      </c>
      <c r="C373" s="424"/>
      <c r="D373" s="290" t="s">
        <v>48</v>
      </c>
      <c r="E373" s="291">
        <f t="shared" si="105"/>
        <v>1.1499999999999999</v>
      </c>
      <c r="F373" s="267"/>
      <c r="G373" s="267">
        <f t="shared" ref="G373:G376" si="116">SUM(H373:M373,Q373,U373,Y373:BG373)</f>
        <v>1.1499999999999999</v>
      </c>
      <c r="H373" s="282">
        <v>0.12</v>
      </c>
      <c r="I373" s="282">
        <v>0.03</v>
      </c>
      <c r="J373" s="282"/>
      <c r="K373" s="282">
        <v>0.22</v>
      </c>
      <c r="L373" s="282">
        <v>0.17</v>
      </c>
      <c r="M373" s="282"/>
      <c r="N373" s="282"/>
      <c r="O373" s="282"/>
      <c r="P373" s="282"/>
      <c r="Q373" s="282"/>
      <c r="R373" s="282"/>
      <c r="S373" s="282"/>
      <c r="T373" s="282"/>
      <c r="U373" s="283">
        <f>SUM(V373:X373)</f>
        <v>0.56999999999999995</v>
      </c>
      <c r="V373" s="282">
        <v>0.56999999999999995</v>
      </c>
      <c r="W373" s="282"/>
      <c r="X373" s="282"/>
      <c r="Y373" s="282"/>
      <c r="Z373" s="282"/>
      <c r="AA373" s="282"/>
      <c r="AB373" s="282"/>
      <c r="AC373" s="282"/>
      <c r="AD373" s="282"/>
      <c r="AE373" s="282"/>
      <c r="AF373" s="282">
        <v>0.04</v>
      </c>
      <c r="AG373" s="282"/>
      <c r="AH373" s="282"/>
      <c r="AI373" s="282"/>
      <c r="AJ373" s="282"/>
      <c r="AK373" s="282"/>
      <c r="AL373" s="282"/>
      <c r="AM373" s="282"/>
      <c r="AN373" s="282"/>
      <c r="AO373" s="282"/>
      <c r="AP373" s="282"/>
      <c r="AQ373" s="282"/>
      <c r="AR373" s="282"/>
      <c r="AS373" s="282"/>
      <c r="AT373" s="282"/>
      <c r="AU373" s="282"/>
      <c r="AV373" s="282"/>
      <c r="AW373" s="282"/>
      <c r="AX373" s="282"/>
      <c r="AY373" s="282"/>
      <c r="AZ373" s="282"/>
      <c r="BA373" s="282"/>
      <c r="BB373" s="282"/>
      <c r="BC373" s="282"/>
      <c r="BD373" s="282"/>
      <c r="BE373" s="282"/>
      <c r="BF373" s="282"/>
      <c r="BG373" s="282"/>
      <c r="BH373" s="436"/>
      <c r="BI373" s="424"/>
      <c r="BJ373" s="424"/>
      <c r="BK373" s="414"/>
      <c r="BL373" s="434"/>
      <c r="BM373" s="430"/>
    </row>
    <row r="374" spans="1:65" s="255" customFormat="1" x14ac:dyDescent="0.25">
      <c r="A374" s="422"/>
      <c r="B374" s="289" t="s">
        <v>34</v>
      </c>
      <c r="C374" s="424"/>
      <c r="D374" s="290" t="s">
        <v>34</v>
      </c>
      <c r="E374" s="291">
        <f t="shared" si="105"/>
        <v>2.8800000000000003</v>
      </c>
      <c r="F374" s="267"/>
      <c r="G374" s="267">
        <f t="shared" si="116"/>
        <v>2.8800000000000003</v>
      </c>
      <c r="H374" s="282">
        <v>0.2</v>
      </c>
      <c r="I374" s="282">
        <v>0.1</v>
      </c>
      <c r="J374" s="282"/>
      <c r="K374" s="282">
        <v>0.1</v>
      </c>
      <c r="L374" s="282">
        <v>0.1</v>
      </c>
      <c r="M374" s="282"/>
      <c r="N374" s="282"/>
      <c r="O374" s="282"/>
      <c r="P374" s="282"/>
      <c r="Q374" s="282"/>
      <c r="R374" s="282"/>
      <c r="S374" s="282"/>
      <c r="T374" s="282"/>
      <c r="U374" s="286">
        <f>SUM(V374:X374)</f>
        <v>2.3200000000000003</v>
      </c>
      <c r="V374" s="282">
        <v>2.3200000000000003</v>
      </c>
      <c r="W374" s="282"/>
      <c r="X374" s="282"/>
      <c r="Y374" s="282"/>
      <c r="Z374" s="282"/>
      <c r="AA374" s="282"/>
      <c r="AB374" s="282"/>
      <c r="AC374" s="282"/>
      <c r="AD374" s="282"/>
      <c r="AE374" s="282"/>
      <c r="AF374" s="282">
        <v>0.04</v>
      </c>
      <c r="AG374" s="282">
        <v>0.02</v>
      </c>
      <c r="AH374" s="282"/>
      <c r="AI374" s="282"/>
      <c r="AJ374" s="282"/>
      <c r="AK374" s="282"/>
      <c r="AL374" s="282"/>
      <c r="AM374" s="282"/>
      <c r="AN374" s="282"/>
      <c r="AO374" s="282"/>
      <c r="AP374" s="282"/>
      <c r="AQ374" s="282"/>
      <c r="AR374" s="282"/>
      <c r="AS374" s="282"/>
      <c r="AT374" s="282"/>
      <c r="AU374" s="282"/>
      <c r="AV374" s="282"/>
      <c r="AW374" s="282"/>
      <c r="AX374" s="282"/>
      <c r="AY374" s="282"/>
      <c r="AZ374" s="282"/>
      <c r="BA374" s="282"/>
      <c r="BB374" s="282"/>
      <c r="BC374" s="282"/>
      <c r="BD374" s="282"/>
      <c r="BE374" s="282"/>
      <c r="BF374" s="282"/>
      <c r="BG374" s="282"/>
      <c r="BH374" s="436"/>
      <c r="BI374" s="424"/>
      <c r="BJ374" s="424"/>
      <c r="BK374" s="414"/>
      <c r="BL374" s="434"/>
      <c r="BM374" s="430"/>
    </row>
    <row r="375" spans="1:65" s="255" customFormat="1" x14ac:dyDescent="0.25">
      <c r="A375" s="422"/>
      <c r="B375" s="289" t="s">
        <v>55</v>
      </c>
      <c r="C375" s="424"/>
      <c r="D375" s="283" t="s">
        <v>55</v>
      </c>
      <c r="E375" s="291">
        <f t="shared" si="105"/>
        <v>0.37</v>
      </c>
      <c r="F375" s="267"/>
      <c r="G375" s="267">
        <f t="shared" si="116"/>
        <v>0.37</v>
      </c>
      <c r="H375" s="282">
        <v>0.05</v>
      </c>
      <c r="I375" s="282">
        <v>0.05</v>
      </c>
      <c r="J375" s="282"/>
      <c r="K375" s="282">
        <v>0.1</v>
      </c>
      <c r="L375" s="282"/>
      <c r="M375" s="282"/>
      <c r="N375" s="282"/>
      <c r="O375" s="282"/>
      <c r="P375" s="282"/>
      <c r="Q375" s="282"/>
      <c r="R375" s="282"/>
      <c r="S375" s="282"/>
      <c r="T375" s="282"/>
      <c r="U375" s="283">
        <f>SUM(V375:X375)</f>
        <v>0.17</v>
      </c>
      <c r="V375" s="282">
        <v>0.17</v>
      </c>
      <c r="W375" s="282"/>
      <c r="X375" s="282"/>
      <c r="Y375" s="282"/>
      <c r="Z375" s="282"/>
      <c r="AA375" s="282"/>
      <c r="AB375" s="282"/>
      <c r="AC375" s="282"/>
      <c r="AD375" s="282"/>
      <c r="AE375" s="282"/>
      <c r="AF375" s="282"/>
      <c r="AG375" s="282"/>
      <c r="AH375" s="282"/>
      <c r="AI375" s="282"/>
      <c r="AJ375" s="282"/>
      <c r="AK375" s="282"/>
      <c r="AL375" s="282"/>
      <c r="AM375" s="282"/>
      <c r="AN375" s="282"/>
      <c r="AO375" s="282"/>
      <c r="AP375" s="282"/>
      <c r="AQ375" s="282"/>
      <c r="AR375" s="282"/>
      <c r="AS375" s="282"/>
      <c r="AT375" s="282"/>
      <c r="AU375" s="282"/>
      <c r="AV375" s="282"/>
      <c r="AW375" s="282"/>
      <c r="AX375" s="282"/>
      <c r="AY375" s="282"/>
      <c r="AZ375" s="282"/>
      <c r="BA375" s="282"/>
      <c r="BB375" s="282"/>
      <c r="BC375" s="282"/>
      <c r="BD375" s="282"/>
      <c r="BE375" s="282"/>
      <c r="BF375" s="282"/>
      <c r="BG375" s="282"/>
      <c r="BH375" s="436"/>
      <c r="BI375" s="424"/>
      <c r="BJ375" s="424"/>
      <c r="BK375" s="414"/>
      <c r="BL375" s="434"/>
      <c r="BM375" s="430"/>
    </row>
    <row r="376" spans="1:65" s="255" customFormat="1" x14ac:dyDescent="0.25">
      <c r="A376" s="422"/>
      <c r="B376" s="289" t="s">
        <v>31</v>
      </c>
      <c r="C376" s="424"/>
      <c r="D376" s="290" t="s">
        <v>31</v>
      </c>
      <c r="E376" s="291">
        <f t="shared" si="105"/>
        <v>5.3</v>
      </c>
      <c r="F376" s="267"/>
      <c r="G376" s="267">
        <f t="shared" si="116"/>
        <v>5.3</v>
      </c>
      <c r="H376" s="282">
        <v>0.1</v>
      </c>
      <c r="I376" s="282">
        <v>0.1</v>
      </c>
      <c r="J376" s="282"/>
      <c r="K376" s="282">
        <v>0.1</v>
      </c>
      <c r="L376" s="282"/>
      <c r="M376" s="282"/>
      <c r="N376" s="282"/>
      <c r="O376" s="282"/>
      <c r="P376" s="282"/>
      <c r="Q376" s="282"/>
      <c r="R376" s="282"/>
      <c r="S376" s="282"/>
      <c r="T376" s="282"/>
      <c r="U376" s="283">
        <f>SUM(V376:X376)</f>
        <v>5</v>
      </c>
      <c r="V376" s="282">
        <v>5</v>
      </c>
      <c r="W376" s="282"/>
      <c r="X376" s="282"/>
      <c r="Y376" s="282"/>
      <c r="Z376" s="282"/>
      <c r="AA376" s="282"/>
      <c r="AB376" s="282"/>
      <c r="AC376" s="282"/>
      <c r="AD376" s="282"/>
      <c r="AE376" s="282"/>
      <c r="AF376" s="282"/>
      <c r="AG376" s="282"/>
      <c r="AH376" s="282"/>
      <c r="AI376" s="282"/>
      <c r="AJ376" s="282"/>
      <c r="AK376" s="282"/>
      <c r="AL376" s="282"/>
      <c r="AM376" s="282"/>
      <c r="AN376" s="282"/>
      <c r="AO376" s="282"/>
      <c r="AP376" s="282"/>
      <c r="AQ376" s="282"/>
      <c r="AR376" s="282"/>
      <c r="AS376" s="282"/>
      <c r="AT376" s="282"/>
      <c r="AU376" s="282"/>
      <c r="AV376" s="282"/>
      <c r="AW376" s="282"/>
      <c r="AX376" s="282"/>
      <c r="AY376" s="282"/>
      <c r="AZ376" s="282"/>
      <c r="BA376" s="282"/>
      <c r="BB376" s="282"/>
      <c r="BC376" s="282"/>
      <c r="BD376" s="282"/>
      <c r="BE376" s="282"/>
      <c r="BF376" s="282"/>
      <c r="BG376" s="282"/>
      <c r="BH376" s="436"/>
      <c r="BI376" s="424"/>
      <c r="BJ376" s="424"/>
      <c r="BK376" s="414"/>
      <c r="BL376" s="434"/>
      <c r="BM376" s="430"/>
    </row>
    <row r="377" spans="1:65" s="261" customFormat="1" ht="31.5" x14ac:dyDescent="0.25">
      <c r="A377" s="422">
        <f>A372+1</f>
        <v>243</v>
      </c>
      <c r="B377" s="285" t="s">
        <v>821</v>
      </c>
      <c r="C377" s="425" t="s">
        <v>65</v>
      </c>
      <c r="D377" s="264"/>
      <c r="E377" s="281">
        <f t="shared" si="105"/>
        <v>17.329999999999998</v>
      </c>
      <c r="F377" s="281"/>
      <c r="G377" s="282">
        <f>SUM(H377:BG377)-M377-Q377-U377</f>
        <v>17.329999999999998</v>
      </c>
      <c r="H377" s="283">
        <f>SUM(H378:H380)</f>
        <v>5.09</v>
      </c>
      <c r="I377" s="283">
        <f t="shared" ref="I377:BG377" si="117">SUM(I378:I380)</f>
        <v>3.5</v>
      </c>
      <c r="J377" s="283">
        <f t="shared" si="117"/>
        <v>0</v>
      </c>
      <c r="K377" s="283">
        <f t="shared" si="117"/>
        <v>2.87</v>
      </c>
      <c r="L377" s="283">
        <f t="shared" si="117"/>
        <v>2.0599999999999996</v>
      </c>
      <c r="M377" s="283">
        <f t="shared" si="117"/>
        <v>0</v>
      </c>
      <c r="N377" s="283">
        <f t="shared" si="117"/>
        <v>0</v>
      </c>
      <c r="O377" s="283">
        <f t="shared" si="117"/>
        <v>0</v>
      </c>
      <c r="P377" s="283">
        <f t="shared" si="117"/>
        <v>0</v>
      </c>
      <c r="Q377" s="283">
        <f t="shared" si="117"/>
        <v>0</v>
      </c>
      <c r="R377" s="283">
        <f t="shared" si="117"/>
        <v>0</v>
      </c>
      <c r="S377" s="283">
        <f t="shared" si="117"/>
        <v>0</v>
      </c>
      <c r="T377" s="283">
        <f t="shared" si="117"/>
        <v>0</v>
      </c>
      <c r="U377" s="283">
        <f t="shared" si="117"/>
        <v>0</v>
      </c>
      <c r="V377" s="283">
        <f t="shared" si="117"/>
        <v>0</v>
      </c>
      <c r="W377" s="283">
        <f t="shared" si="117"/>
        <v>0</v>
      </c>
      <c r="X377" s="283">
        <f t="shared" si="117"/>
        <v>0</v>
      </c>
      <c r="Y377" s="283">
        <f t="shared" si="117"/>
        <v>0</v>
      </c>
      <c r="Z377" s="283">
        <f t="shared" si="117"/>
        <v>0</v>
      </c>
      <c r="AA377" s="283">
        <f t="shared" si="117"/>
        <v>0</v>
      </c>
      <c r="AB377" s="283">
        <f t="shared" si="117"/>
        <v>0</v>
      </c>
      <c r="AC377" s="283">
        <f t="shared" si="117"/>
        <v>0</v>
      </c>
      <c r="AD377" s="283">
        <f t="shared" si="117"/>
        <v>0</v>
      </c>
      <c r="AE377" s="283">
        <f t="shared" si="117"/>
        <v>0</v>
      </c>
      <c r="AF377" s="283">
        <f t="shared" si="117"/>
        <v>2.2999999999999998</v>
      </c>
      <c r="AG377" s="283">
        <f t="shared" si="117"/>
        <v>0</v>
      </c>
      <c r="AH377" s="283">
        <f t="shared" si="117"/>
        <v>0</v>
      </c>
      <c r="AI377" s="283">
        <f t="shared" si="117"/>
        <v>0</v>
      </c>
      <c r="AJ377" s="283">
        <f t="shared" si="117"/>
        <v>0</v>
      </c>
      <c r="AK377" s="283">
        <f t="shared" si="117"/>
        <v>0</v>
      </c>
      <c r="AL377" s="283">
        <f t="shared" si="117"/>
        <v>0</v>
      </c>
      <c r="AM377" s="283">
        <f t="shared" si="117"/>
        <v>0</v>
      </c>
      <c r="AN377" s="283">
        <f t="shared" si="117"/>
        <v>0</v>
      </c>
      <c r="AO377" s="283">
        <f t="shared" si="117"/>
        <v>0</v>
      </c>
      <c r="AP377" s="283">
        <f t="shared" si="117"/>
        <v>0</v>
      </c>
      <c r="AQ377" s="283">
        <f t="shared" si="117"/>
        <v>0</v>
      </c>
      <c r="AR377" s="283">
        <f t="shared" si="117"/>
        <v>0</v>
      </c>
      <c r="AS377" s="283">
        <f t="shared" si="117"/>
        <v>0</v>
      </c>
      <c r="AT377" s="283">
        <f t="shared" si="117"/>
        <v>0</v>
      </c>
      <c r="AU377" s="283">
        <f t="shared" si="117"/>
        <v>1.2000000000000002</v>
      </c>
      <c r="AV377" s="283">
        <f t="shared" si="117"/>
        <v>0</v>
      </c>
      <c r="AW377" s="283">
        <f t="shared" si="117"/>
        <v>0</v>
      </c>
      <c r="AX377" s="283">
        <f t="shared" si="117"/>
        <v>0</v>
      </c>
      <c r="AY377" s="283">
        <f t="shared" si="117"/>
        <v>0</v>
      </c>
      <c r="AZ377" s="283">
        <f t="shared" si="117"/>
        <v>0</v>
      </c>
      <c r="BA377" s="283">
        <f t="shared" si="117"/>
        <v>0</v>
      </c>
      <c r="BB377" s="283">
        <f t="shared" si="117"/>
        <v>0</v>
      </c>
      <c r="BC377" s="283">
        <f t="shared" si="117"/>
        <v>0</v>
      </c>
      <c r="BD377" s="283">
        <f t="shared" si="117"/>
        <v>0.31</v>
      </c>
      <c r="BE377" s="283">
        <f t="shared" si="117"/>
        <v>0</v>
      </c>
      <c r="BF377" s="283">
        <f t="shared" si="117"/>
        <v>0</v>
      </c>
      <c r="BG377" s="283">
        <f t="shared" si="117"/>
        <v>0</v>
      </c>
      <c r="BH377" s="428" t="s">
        <v>822</v>
      </c>
      <c r="BI377" s="425" t="s">
        <v>65</v>
      </c>
      <c r="BJ377" s="429" t="s">
        <v>1093</v>
      </c>
      <c r="BK377" s="427" t="s">
        <v>120</v>
      </c>
      <c r="BL377" s="415" t="s">
        <v>175</v>
      </c>
      <c r="BM377" s="430" t="s">
        <v>1026</v>
      </c>
    </row>
    <row r="378" spans="1:65" s="262" customFormat="1" x14ac:dyDescent="0.25">
      <c r="A378" s="422"/>
      <c r="B378" s="289" t="s">
        <v>49</v>
      </c>
      <c r="C378" s="425"/>
      <c r="D378" s="290" t="s">
        <v>49</v>
      </c>
      <c r="E378" s="291">
        <f t="shared" si="105"/>
        <v>7</v>
      </c>
      <c r="F378" s="291"/>
      <c r="G378" s="282">
        <f>SUM(H378:BG378)-M378-Q378-U378</f>
        <v>7</v>
      </c>
      <c r="H378" s="293">
        <f>3.55-1-0.48</f>
        <v>2.0699999999999998</v>
      </c>
      <c r="I378" s="293">
        <f>1.89-0.5</f>
        <v>1.39</v>
      </c>
      <c r="J378" s="293"/>
      <c r="K378" s="293">
        <f>1.8-0.5-0.11+0.08</f>
        <v>1.27</v>
      </c>
      <c r="L378" s="293">
        <v>0.80999999999999961</v>
      </c>
      <c r="M378" s="293"/>
      <c r="N378" s="293"/>
      <c r="O378" s="293"/>
      <c r="P378" s="293"/>
      <c r="Q378" s="293"/>
      <c r="R378" s="293"/>
      <c r="S378" s="293"/>
      <c r="T378" s="293"/>
      <c r="U378" s="293"/>
      <c r="V378" s="293"/>
      <c r="W378" s="293"/>
      <c r="X378" s="293"/>
      <c r="Y378" s="293"/>
      <c r="Z378" s="293"/>
      <c r="AA378" s="293"/>
      <c r="AB378" s="293"/>
      <c r="AC378" s="293"/>
      <c r="AD378" s="293"/>
      <c r="AE378" s="293"/>
      <c r="AF378" s="293">
        <f>0.5-0.15-0.08</f>
        <v>0.26999999999999996</v>
      </c>
      <c r="AG378" s="293"/>
      <c r="AH378" s="293"/>
      <c r="AI378" s="293"/>
      <c r="AJ378" s="293"/>
      <c r="AK378" s="293"/>
      <c r="AL378" s="293"/>
      <c r="AM378" s="293"/>
      <c r="AN378" s="293"/>
      <c r="AO378" s="293"/>
      <c r="AP378" s="293"/>
      <c r="AQ378" s="293"/>
      <c r="AR378" s="293"/>
      <c r="AS378" s="293"/>
      <c r="AT378" s="293"/>
      <c r="AU378" s="293">
        <v>1.08</v>
      </c>
      <c r="AV378" s="293"/>
      <c r="AW378" s="293"/>
      <c r="AX378" s="293"/>
      <c r="AY378" s="293"/>
      <c r="AZ378" s="293"/>
      <c r="BA378" s="293"/>
      <c r="BB378" s="293"/>
      <c r="BC378" s="293"/>
      <c r="BD378" s="293">
        <v>0.11</v>
      </c>
      <c r="BE378" s="293"/>
      <c r="BF378" s="293"/>
      <c r="BG378" s="293"/>
      <c r="BH378" s="428"/>
      <c r="BI378" s="425"/>
      <c r="BJ378" s="429"/>
      <c r="BK378" s="427"/>
      <c r="BL378" s="415"/>
      <c r="BM378" s="430"/>
    </row>
    <row r="379" spans="1:65" s="262" customFormat="1" x14ac:dyDescent="0.25">
      <c r="A379" s="422"/>
      <c r="B379" s="289" t="s">
        <v>34</v>
      </c>
      <c r="C379" s="425"/>
      <c r="D379" s="290" t="s">
        <v>34</v>
      </c>
      <c r="E379" s="291">
        <f t="shared" si="105"/>
        <v>6.080000000000001</v>
      </c>
      <c r="F379" s="291"/>
      <c r="G379" s="292">
        <f>SUM(H379:BG379)-M379-Q379-U379</f>
        <v>6.080000000000001</v>
      </c>
      <c r="H379" s="293">
        <f>2.37-0.4-0.43</f>
        <v>1.5400000000000003</v>
      </c>
      <c r="I379" s="293">
        <f>1.26-0.2</f>
        <v>1.06</v>
      </c>
      <c r="J379" s="293"/>
      <c r="K379" s="293">
        <v>0.75</v>
      </c>
      <c r="L379" s="293">
        <v>0.5</v>
      </c>
      <c r="M379" s="293"/>
      <c r="N379" s="293"/>
      <c r="O379" s="293"/>
      <c r="P379" s="293"/>
      <c r="Q379" s="293"/>
      <c r="R379" s="293"/>
      <c r="S379" s="293"/>
      <c r="T379" s="293"/>
      <c r="U379" s="286"/>
      <c r="V379" s="293"/>
      <c r="W379" s="293"/>
      <c r="X379" s="293"/>
      <c r="Y379" s="293"/>
      <c r="Z379" s="293"/>
      <c r="AA379" s="293"/>
      <c r="AB379" s="293"/>
      <c r="AC379" s="293"/>
      <c r="AD379" s="293"/>
      <c r="AE379" s="293"/>
      <c r="AF379" s="293">
        <f>1.8+0.15+0.08</f>
        <v>2.0299999999999998</v>
      </c>
      <c r="AG379" s="293"/>
      <c r="AH379" s="293"/>
      <c r="AI379" s="293"/>
      <c r="AJ379" s="293"/>
      <c r="AK379" s="293"/>
      <c r="AL379" s="293"/>
      <c r="AM379" s="293"/>
      <c r="AN379" s="293"/>
      <c r="AO379" s="293"/>
      <c r="AP379" s="293"/>
      <c r="AQ379" s="293"/>
      <c r="AR379" s="293"/>
      <c r="AS379" s="293"/>
      <c r="AT379" s="293"/>
      <c r="AU379" s="293"/>
      <c r="AV379" s="293"/>
      <c r="AW379" s="293"/>
      <c r="AX379" s="293"/>
      <c r="AY379" s="293"/>
      <c r="AZ379" s="293"/>
      <c r="BA379" s="293"/>
      <c r="BB379" s="293"/>
      <c r="BC379" s="293"/>
      <c r="BD379" s="293">
        <v>0.2</v>
      </c>
      <c r="BE379" s="293"/>
      <c r="BF379" s="293"/>
      <c r="BG379" s="293"/>
      <c r="BH379" s="428"/>
      <c r="BI379" s="425"/>
      <c r="BJ379" s="429"/>
      <c r="BK379" s="427"/>
      <c r="BL379" s="415"/>
      <c r="BM379" s="430"/>
    </row>
    <row r="380" spans="1:65" s="262" customFormat="1" x14ac:dyDescent="0.25">
      <c r="A380" s="422"/>
      <c r="B380" s="289" t="s">
        <v>31</v>
      </c>
      <c r="C380" s="425"/>
      <c r="D380" s="290" t="s">
        <v>31</v>
      </c>
      <c r="E380" s="291">
        <f t="shared" si="105"/>
        <v>4.2500000000000009</v>
      </c>
      <c r="F380" s="291"/>
      <c r="G380" s="282">
        <f>SUM(H380:BG380)-M380-Q380-U380</f>
        <v>4.2500000000000009</v>
      </c>
      <c r="H380" s="293">
        <f>1.98-0.5</f>
        <v>1.48</v>
      </c>
      <c r="I380" s="293">
        <v>1.05</v>
      </c>
      <c r="J380" s="293"/>
      <c r="K380" s="293">
        <v>0.85</v>
      </c>
      <c r="L380" s="293">
        <f>1-0.25</f>
        <v>0.75</v>
      </c>
      <c r="M380" s="293"/>
      <c r="N380" s="293"/>
      <c r="O380" s="293"/>
      <c r="P380" s="293"/>
      <c r="Q380" s="293"/>
      <c r="R380" s="293"/>
      <c r="S380" s="293"/>
      <c r="T380" s="293"/>
      <c r="U380" s="293"/>
      <c r="V380" s="293"/>
      <c r="W380" s="293"/>
      <c r="X380" s="293"/>
      <c r="Y380" s="293"/>
      <c r="Z380" s="293"/>
      <c r="AA380" s="293"/>
      <c r="AB380" s="293"/>
      <c r="AC380" s="293"/>
      <c r="AD380" s="293"/>
      <c r="AE380" s="293"/>
      <c r="AF380" s="293"/>
      <c r="AG380" s="293"/>
      <c r="AH380" s="293"/>
      <c r="AI380" s="293"/>
      <c r="AJ380" s="293"/>
      <c r="AK380" s="293"/>
      <c r="AL380" s="293"/>
      <c r="AM380" s="293"/>
      <c r="AN380" s="293"/>
      <c r="AO380" s="293"/>
      <c r="AP380" s="293"/>
      <c r="AQ380" s="293"/>
      <c r="AR380" s="293"/>
      <c r="AS380" s="293"/>
      <c r="AT380" s="293"/>
      <c r="AU380" s="293">
        <v>0.12</v>
      </c>
      <c r="AV380" s="293"/>
      <c r="AW380" s="293"/>
      <c r="AX380" s="293"/>
      <c r="AY380" s="293"/>
      <c r="AZ380" s="293"/>
      <c r="BA380" s="293"/>
      <c r="BB380" s="293"/>
      <c r="BC380" s="293"/>
      <c r="BD380" s="293"/>
      <c r="BE380" s="293"/>
      <c r="BF380" s="293"/>
      <c r="BG380" s="293"/>
      <c r="BH380" s="428"/>
      <c r="BI380" s="425"/>
      <c r="BJ380" s="429"/>
      <c r="BK380" s="427"/>
      <c r="BL380" s="415"/>
      <c r="BM380" s="430"/>
    </row>
    <row r="381" spans="1:65" s="254" customFormat="1" x14ac:dyDescent="0.25">
      <c r="A381" s="275" t="s">
        <v>330</v>
      </c>
      <c r="B381" s="276" t="s">
        <v>823</v>
      </c>
      <c r="C381" s="275"/>
      <c r="D381" s="275"/>
      <c r="E381" s="277">
        <f>SUM(F381:G381)</f>
        <v>105.32200000000002</v>
      </c>
      <c r="F381" s="277">
        <f>SUM(F382,F386,F390,F394,F399,F407,F410,F417,F421,F425,F428,F432,F436,F437)</f>
        <v>0</v>
      </c>
      <c r="G381" s="277">
        <f>SUM(G382,G386,G390,G394,G399,G407,G410,G417,G421,G425,G428,G431,G434,G437)</f>
        <v>105.32200000000002</v>
      </c>
      <c r="H381" s="277">
        <f t="shared" ref="H381:AM381" si="118">SUM(H382,H386,H390,H394,H399,H407,H410,H417,H421,H425,H428,H431,H434,H437)</f>
        <v>15.960000000000003</v>
      </c>
      <c r="I381" s="277">
        <f t="shared" si="118"/>
        <v>4.0699999999999994</v>
      </c>
      <c r="J381" s="277">
        <f t="shared" si="118"/>
        <v>0</v>
      </c>
      <c r="K381" s="277">
        <f t="shared" si="118"/>
        <v>15.71</v>
      </c>
      <c r="L381" s="277">
        <f t="shared" si="118"/>
        <v>17.940000000000001</v>
      </c>
      <c r="M381" s="277">
        <f t="shared" si="118"/>
        <v>0</v>
      </c>
      <c r="N381" s="277">
        <f t="shared" si="118"/>
        <v>0</v>
      </c>
      <c r="O381" s="277">
        <f t="shared" si="118"/>
        <v>0</v>
      </c>
      <c r="P381" s="277">
        <f t="shared" si="118"/>
        <v>0</v>
      </c>
      <c r="Q381" s="277">
        <f t="shared" si="118"/>
        <v>0</v>
      </c>
      <c r="R381" s="277">
        <f t="shared" si="118"/>
        <v>0</v>
      </c>
      <c r="S381" s="277">
        <f t="shared" si="118"/>
        <v>0</v>
      </c>
      <c r="T381" s="277">
        <f t="shared" si="118"/>
        <v>0</v>
      </c>
      <c r="U381" s="278">
        <f t="shared" si="118"/>
        <v>35.912000000000006</v>
      </c>
      <c r="V381" s="277">
        <f t="shared" si="118"/>
        <v>28.502000000000002</v>
      </c>
      <c r="W381" s="277">
        <f t="shared" si="118"/>
        <v>6.11</v>
      </c>
      <c r="X381" s="277">
        <f t="shared" si="118"/>
        <v>1.3</v>
      </c>
      <c r="Y381" s="277">
        <f t="shared" si="118"/>
        <v>1.42</v>
      </c>
      <c r="Z381" s="277">
        <f t="shared" si="118"/>
        <v>0</v>
      </c>
      <c r="AA381" s="277">
        <f t="shared" si="118"/>
        <v>0</v>
      </c>
      <c r="AB381" s="277">
        <f t="shared" si="118"/>
        <v>0</v>
      </c>
      <c r="AC381" s="277">
        <f t="shared" si="118"/>
        <v>0.06</v>
      </c>
      <c r="AD381" s="277">
        <f t="shared" si="118"/>
        <v>0.09</v>
      </c>
      <c r="AE381" s="277">
        <f t="shared" si="118"/>
        <v>0</v>
      </c>
      <c r="AF381" s="277">
        <f t="shared" si="118"/>
        <v>3.0300000000000002</v>
      </c>
      <c r="AG381" s="277">
        <f t="shared" si="118"/>
        <v>0.5</v>
      </c>
      <c r="AH381" s="277">
        <f t="shared" si="118"/>
        <v>0</v>
      </c>
      <c r="AI381" s="277">
        <f t="shared" si="118"/>
        <v>0.16</v>
      </c>
      <c r="AJ381" s="277">
        <f t="shared" si="118"/>
        <v>0</v>
      </c>
      <c r="AK381" s="277">
        <f t="shared" si="118"/>
        <v>0.05</v>
      </c>
      <c r="AL381" s="277">
        <f t="shared" si="118"/>
        <v>0</v>
      </c>
      <c r="AM381" s="277">
        <f t="shared" si="118"/>
        <v>0</v>
      </c>
      <c r="AN381" s="277">
        <f t="shared" ref="AN381:BG381" si="119">SUM(AN382,AN386,AN390,AN394,AN399,AN407,AN410,AN417,AN421,AN425,AN428,AN431,AN434,AN437)</f>
        <v>0</v>
      </c>
      <c r="AO381" s="277">
        <f t="shared" si="119"/>
        <v>0</v>
      </c>
      <c r="AP381" s="277">
        <f t="shared" si="119"/>
        <v>0</v>
      </c>
      <c r="AQ381" s="277">
        <f t="shared" si="119"/>
        <v>0</v>
      </c>
      <c r="AR381" s="277">
        <f t="shared" si="119"/>
        <v>0</v>
      </c>
      <c r="AS381" s="277">
        <f t="shared" si="119"/>
        <v>0</v>
      </c>
      <c r="AT381" s="277">
        <f t="shared" si="119"/>
        <v>2.42</v>
      </c>
      <c r="AU381" s="277">
        <f t="shared" si="119"/>
        <v>1.04</v>
      </c>
      <c r="AV381" s="277">
        <f t="shared" si="119"/>
        <v>0</v>
      </c>
      <c r="AW381" s="277">
        <f t="shared" si="119"/>
        <v>0</v>
      </c>
      <c r="AX381" s="277">
        <f t="shared" si="119"/>
        <v>0</v>
      </c>
      <c r="AY381" s="277">
        <f t="shared" si="119"/>
        <v>0</v>
      </c>
      <c r="AZ381" s="277">
        <f t="shared" si="119"/>
        <v>0</v>
      </c>
      <c r="BA381" s="277">
        <f t="shared" si="119"/>
        <v>0</v>
      </c>
      <c r="BB381" s="277">
        <f t="shared" si="119"/>
        <v>0</v>
      </c>
      <c r="BC381" s="277">
        <f t="shared" si="119"/>
        <v>0</v>
      </c>
      <c r="BD381" s="277">
        <f t="shared" si="119"/>
        <v>2.1799999999999997</v>
      </c>
      <c r="BE381" s="277">
        <f t="shared" si="119"/>
        <v>0</v>
      </c>
      <c r="BF381" s="277">
        <f t="shared" si="119"/>
        <v>0.04</v>
      </c>
      <c r="BG381" s="277">
        <f t="shared" si="119"/>
        <v>4.74</v>
      </c>
      <c r="BH381" s="275"/>
      <c r="BI381" s="275"/>
      <c r="BJ381" s="275"/>
      <c r="BK381" s="279"/>
      <c r="BL381" s="278"/>
      <c r="BM381" s="275"/>
    </row>
    <row r="382" spans="1:65" s="252" customFormat="1" ht="31.5" x14ac:dyDescent="0.25">
      <c r="A382" s="422">
        <f>A377+1</f>
        <v>244</v>
      </c>
      <c r="B382" s="280" t="s">
        <v>824</v>
      </c>
      <c r="C382" s="413" t="s">
        <v>65</v>
      </c>
      <c r="D382" s="264"/>
      <c r="E382" s="281">
        <f>F382+G382</f>
        <v>0.92999999999999994</v>
      </c>
      <c r="F382" s="281"/>
      <c r="G382" s="282">
        <f t="shared" ref="G382:G389" si="120">SUM(H382:BG382)-M382-Q382-U382</f>
        <v>0.92999999999999994</v>
      </c>
      <c r="H382" s="283">
        <v>0.03</v>
      </c>
      <c r="I382" s="281"/>
      <c r="J382" s="283"/>
      <c r="K382" s="282">
        <v>0.08</v>
      </c>
      <c r="L382" s="281">
        <v>0.12</v>
      </c>
      <c r="M382" s="283"/>
      <c r="N382" s="283"/>
      <c r="O382" s="283"/>
      <c r="P382" s="283"/>
      <c r="Q382" s="283"/>
      <c r="R382" s="283"/>
      <c r="S382" s="283"/>
      <c r="T382" s="283"/>
      <c r="U382" s="283"/>
      <c r="V382" s="284"/>
      <c r="W382" s="283"/>
      <c r="X382" s="283"/>
      <c r="Y382" s="283"/>
      <c r="Z382" s="283"/>
      <c r="AA382" s="283"/>
      <c r="AB382" s="283"/>
      <c r="AC382" s="283"/>
      <c r="AD382" s="283"/>
      <c r="AE382" s="283"/>
      <c r="AF382" s="283">
        <v>0.7</v>
      </c>
      <c r="AG382" s="283"/>
      <c r="AH382" s="283"/>
      <c r="AI382" s="283"/>
      <c r="AJ382" s="283"/>
      <c r="AK382" s="283"/>
      <c r="AL382" s="283"/>
      <c r="AM382" s="283"/>
      <c r="AN382" s="283"/>
      <c r="AO382" s="283"/>
      <c r="AP382" s="283"/>
      <c r="AQ382" s="283"/>
      <c r="AR382" s="283"/>
      <c r="AS382" s="283"/>
      <c r="AT382" s="284"/>
      <c r="AU382" s="283"/>
      <c r="AV382" s="283"/>
      <c r="AW382" s="283"/>
      <c r="AX382" s="283"/>
      <c r="AY382" s="283"/>
      <c r="AZ382" s="283"/>
      <c r="BA382" s="283"/>
      <c r="BB382" s="283"/>
      <c r="BC382" s="283"/>
      <c r="BD382" s="283"/>
      <c r="BE382" s="283"/>
      <c r="BF382" s="283"/>
      <c r="BG382" s="283"/>
      <c r="BH382" s="413" t="s">
        <v>311</v>
      </c>
      <c r="BI382" s="413" t="s">
        <v>65</v>
      </c>
      <c r="BJ382" s="413" t="s">
        <v>1094</v>
      </c>
      <c r="BK382" s="414" t="s">
        <v>120</v>
      </c>
      <c r="BL382" s="411" t="s">
        <v>825</v>
      </c>
      <c r="BM382" s="411" t="s">
        <v>206</v>
      </c>
    </row>
    <row r="383" spans="1:65" s="252" customFormat="1" x14ac:dyDescent="0.25">
      <c r="A383" s="422"/>
      <c r="B383" s="285" t="s">
        <v>49</v>
      </c>
      <c r="C383" s="413"/>
      <c r="D383" s="264" t="s">
        <v>49</v>
      </c>
      <c r="E383" s="281">
        <f>F383+G383</f>
        <v>0.37</v>
      </c>
      <c r="F383" s="281"/>
      <c r="G383" s="282">
        <f t="shared" si="120"/>
        <v>0.37</v>
      </c>
      <c r="H383" s="283">
        <v>0.01</v>
      </c>
      <c r="I383" s="283"/>
      <c r="J383" s="283"/>
      <c r="K383" s="283">
        <v>0.04</v>
      </c>
      <c r="L383" s="283">
        <v>0.04</v>
      </c>
      <c r="M383" s="283"/>
      <c r="N383" s="283"/>
      <c r="O383" s="283"/>
      <c r="P383" s="283"/>
      <c r="Q383" s="283"/>
      <c r="R383" s="283"/>
      <c r="S383" s="283"/>
      <c r="T383" s="283"/>
      <c r="U383" s="283"/>
      <c r="V383" s="283"/>
      <c r="W383" s="283"/>
      <c r="X383" s="283"/>
      <c r="Y383" s="283"/>
      <c r="Z383" s="283"/>
      <c r="AA383" s="283"/>
      <c r="AB383" s="283"/>
      <c r="AC383" s="283"/>
      <c r="AD383" s="283"/>
      <c r="AE383" s="283"/>
      <c r="AF383" s="283">
        <v>0.28000000000000003</v>
      </c>
      <c r="AG383" s="283">
        <f t="shared" ref="AG383:BG383" si="121">AG382*40%</f>
        <v>0</v>
      </c>
      <c r="AH383" s="283">
        <f t="shared" si="121"/>
        <v>0</v>
      </c>
      <c r="AI383" s="283">
        <f t="shared" si="121"/>
        <v>0</v>
      </c>
      <c r="AJ383" s="283">
        <f t="shared" si="121"/>
        <v>0</v>
      </c>
      <c r="AK383" s="283">
        <f t="shared" si="121"/>
        <v>0</v>
      </c>
      <c r="AL383" s="283">
        <f t="shared" si="121"/>
        <v>0</v>
      </c>
      <c r="AM383" s="283">
        <f t="shared" si="121"/>
        <v>0</v>
      </c>
      <c r="AN383" s="283">
        <f t="shared" si="121"/>
        <v>0</v>
      </c>
      <c r="AO383" s="283">
        <f t="shared" si="121"/>
        <v>0</v>
      </c>
      <c r="AP383" s="283">
        <f t="shared" si="121"/>
        <v>0</v>
      </c>
      <c r="AQ383" s="283">
        <f t="shared" si="121"/>
        <v>0</v>
      </c>
      <c r="AR383" s="283">
        <f t="shared" si="121"/>
        <v>0</v>
      </c>
      <c r="AS383" s="283">
        <f t="shared" si="121"/>
        <v>0</v>
      </c>
      <c r="AT383" s="283">
        <f t="shared" si="121"/>
        <v>0</v>
      </c>
      <c r="AU383" s="283">
        <f t="shared" si="121"/>
        <v>0</v>
      </c>
      <c r="AV383" s="283">
        <f t="shared" si="121"/>
        <v>0</v>
      </c>
      <c r="AW383" s="283">
        <f t="shared" si="121"/>
        <v>0</v>
      </c>
      <c r="AX383" s="283">
        <f t="shared" si="121"/>
        <v>0</v>
      </c>
      <c r="AY383" s="283">
        <f t="shared" si="121"/>
        <v>0</v>
      </c>
      <c r="AZ383" s="283">
        <f t="shared" si="121"/>
        <v>0</v>
      </c>
      <c r="BA383" s="283">
        <f t="shared" si="121"/>
        <v>0</v>
      </c>
      <c r="BB383" s="283">
        <f t="shared" si="121"/>
        <v>0</v>
      </c>
      <c r="BC383" s="283">
        <f t="shared" si="121"/>
        <v>0</v>
      </c>
      <c r="BD383" s="283">
        <f t="shared" si="121"/>
        <v>0</v>
      </c>
      <c r="BE383" s="283">
        <f t="shared" si="121"/>
        <v>0</v>
      </c>
      <c r="BF383" s="283">
        <f t="shared" si="121"/>
        <v>0</v>
      </c>
      <c r="BG383" s="283">
        <f t="shared" si="121"/>
        <v>0</v>
      </c>
      <c r="BH383" s="413"/>
      <c r="BI383" s="413"/>
      <c r="BJ383" s="413"/>
      <c r="BK383" s="414"/>
      <c r="BL383" s="411"/>
      <c r="BM383" s="411"/>
    </row>
    <row r="384" spans="1:65" s="252" customFormat="1" x14ac:dyDescent="0.25">
      <c r="A384" s="422"/>
      <c r="B384" s="285" t="s">
        <v>34</v>
      </c>
      <c r="C384" s="413"/>
      <c r="D384" s="264" t="s">
        <v>34</v>
      </c>
      <c r="E384" s="281">
        <f>F384+G384</f>
        <v>0.28000000000000003</v>
      </c>
      <c r="F384" s="281"/>
      <c r="G384" s="282">
        <f t="shared" si="120"/>
        <v>0.28000000000000003</v>
      </c>
      <c r="H384" s="283">
        <v>0.01</v>
      </c>
      <c r="I384" s="283"/>
      <c r="J384" s="283"/>
      <c r="K384" s="283">
        <v>0.02</v>
      </c>
      <c r="L384" s="283">
        <v>0.04</v>
      </c>
      <c r="M384" s="283"/>
      <c r="N384" s="283"/>
      <c r="O384" s="283"/>
      <c r="P384" s="283"/>
      <c r="Q384" s="283"/>
      <c r="R384" s="283"/>
      <c r="S384" s="283"/>
      <c r="T384" s="283"/>
      <c r="U384" s="286"/>
      <c r="V384" s="283"/>
      <c r="W384" s="283"/>
      <c r="X384" s="283"/>
      <c r="Y384" s="283"/>
      <c r="Z384" s="283"/>
      <c r="AA384" s="283"/>
      <c r="AB384" s="283"/>
      <c r="AC384" s="283"/>
      <c r="AD384" s="283"/>
      <c r="AE384" s="283"/>
      <c r="AF384" s="283">
        <v>0.21</v>
      </c>
      <c r="AG384" s="283">
        <f t="shared" ref="AG384:BG384" si="122">ROUND(AG382*30%,2)</f>
        <v>0</v>
      </c>
      <c r="AH384" s="283">
        <f t="shared" si="122"/>
        <v>0</v>
      </c>
      <c r="AI384" s="283">
        <f t="shared" si="122"/>
        <v>0</v>
      </c>
      <c r="AJ384" s="283">
        <f t="shared" si="122"/>
        <v>0</v>
      </c>
      <c r="AK384" s="283">
        <f t="shared" si="122"/>
        <v>0</v>
      </c>
      <c r="AL384" s="283">
        <f t="shared" si="122"/>
        <v>0</v>
      </c>
      <c r="AM384" s="283">
        <f t="shared" si="122"/>
        <v>0</v>
      </c>
      <c r="AN384" s="283">
        <f t="shared" si="122"/>
        <v>0</v>
      </c>
      <c r="AO384" s="283">
        <f t="shared" si="122"/>
        <v>0</v>
      </c>
      <c r="AP384" s="283">
        <f t="shared" si="122"/>
        <v>0</v>
      </c>
      <c r="AQ384" s="283">
        <f t="shared" si="122"/>
        <v>0</v>
      </c>
      <c r="AR384" s="283">
        <f t="shared" si="122"/>
        <v>0</v>
      </c>
      <c r="AS384" s="283">
        <f t="shared" si="122"/>
        <v>0</v>
      </c>
      <c r="AT384" s="283">
        <f t="shared" si="122"/>
        <v>0</v>
      </c>
      <c r="AU384" s="283">
        <f t="shared" si="122"/>
        <v>0</v>
      </c>
      <c r="AV384" s="283">
        <f t="shared" si="122"/>
        <v>0</v>
      </c>
      <c r="AW384" s="283">
        <f t="shared" si="122"/>
        <v>0</v>
      </c>
      <c r="AX384" s="283">
        <f t="shared" si="122"/>
        <v>0</v>
      </c>
      <c r="AY384" s="283">
        <f t="shared" si="122"/>
        <v>0</v>
      </c>
      <c r="AZ384" s="283">
        <f t="shared" si="122"/>
        <v>0</v>
      </c>
      <c r="BA384" s="283">
        <f t="shared" si="122"/>
        <v>0</v>
      </c>
      <c r="BB384" s="283">
        <f t="shared" si="122"/>
        <v>0</v>
      </c>
      <c r="BC384" s="283">
        <f t="shared" si="122"/>
        <v>0</v>
      </c>
      <c r="BD384" s="283">
        <f t="shared" si="122"/>
        <v>0</v>
      </c>
      <c r="BE384" s="283">
        <f t="shared" si="122"/>
        <v>0</v>
      </c>
      <c r="BF384" s="283">
        <f t="shared" si="122"/>
        <v>0</v>
      </c>
      <c r="BG384" s="283">
        <f t="shared" si="122"/>
        <v>0</v>
      </c>
      <c r="BH384" s="413"/>
      <c r="BI384" s="413"/>
      <c r="BJ384" s="413"/>
      <c r="BK384" s="414"/>
      <c r="BL384" s="411"/>
      <c r="BM384" s="411"/>
    </row>
    <row r="385" spans="1:65" s="252" customFormat="1" x14ac:dyDescent="0.25">
      <c r="A385" s="422"/>
      <c r="B385" s="285" t="s">
        <v>31</v>
      </c>
      <c r="C385" s="413"/>
      <c r="D385" s="264" t="s">
        <v>31</v>
      </c>
      <c r="E385" s="281">
        <f>F385+G385</f>
        <v>0.28000000000000003</v>
      </c>
      <c r="F385" s="281"/>
      <c r="G385" s="282">
        <f t="shared" si="120"/>
        <v>0.28000000000000003</v>
      </c>
      <c r="H385" s="283">
        <v>0.01</v>
      </c>
      <c r="I385" s="283"/>
      <c r="J385" s="283"/>
      <c r="K385" s="283">
        <v>0.02</v>
      </c>
      <c r="L385" s="283">
        <v>0.04</v>
      </c>
      <c r="M385" s="283"/>
      <c r="N385" s="283"/>
      <c r="O385" s="283"/>
      <c r="P385" s="283"/>
      <c r="Q385" s="283"/>
      <c r="R385" s="283"/>
      <c r="S385" s="283"/>
      <c r="T385" s="283"/>
      <c r="U385" s="283"/>
      <c r="V385" s="283"/>
      <c r="W385" s="283"/>
      <c r="X385" s="283"/>
      <c r="Y385" s="283"/>
      <c r="Z385" s="283"/>
      <c r="AA385" s="283"/>
      <c r="AB385" s="283"/>
      <c r="AC385" s="283"/>
      <c r="AD385" s="283"/>
      <c r="AE385" s="283"/>
      <c r="AF385" s="283">
        <v>0.21</v>
      </c>
      <c r="AG385" s="283">
        <f t="shared" ref="AG385:BG385" si="123">AG382*30%</f>
        <v>0</v>
      </c>
      <c r="AH385" s="283">
        <f t="shared" si="123"/>
        <v>0</v>
      </c>
      <c r="AI385" s="283">
        <f t="shared" si="123"/>
        <v>0</v>
      </c>
      <c r="AJ385" s="283">
        <f t="shared" si="123"/>
        <v>0</v>
      </c>
      <c r="AK385" s="283">
        <f t="shared" si="123"/>
        <v>0</v>
      </c>
      <c r="AL385" s="283">
        <f t="shared" si="123"/>
        <v>0</v>
      </c>
      <c r="AM385" s="283">
        <f t="shared" si="123"/>
        <v>0</v>
      </c>
      <c r="AN385" s="283">
        <f t="shared" si="123"/>
        <v>0</v>
      </c>
      <c r="AO385" s="283">
        <f t="shared" si="123"/>
        <v>0</v>
      </c>
      <c r="AP385" s="283">
        <f t="shared" si="123"/>
        <v>0</v>
      </c>
      <c r="AQ385" s="283">
        <f t="shared" si="123"/>
        <v>0</v>
      </c>
      <c r="AR385" s="283">
        <f t="shared" si="123"/>
        <v>0</v>
      </c>
      <c r="AS385" s="283">
        <f t="shared" si="123"/>
        <v>0</v>
      </c>
      <c r="AT385" s="283">
        <f t="shared" si="123"/>
        <v>0</v>
      </c>
      <c r="AU385" s="283">
        <f t="shared" si="123"/>
        <v>0</v>
      </c>
      <c r="AV385" s="283">
        <f t="shared" si="123"/>
        <v>0</v>
      </c>
      <c r="AW385" s="283">
        <f t="shared" si="123"/>
        <v>0</v>
      </c>
      <c r="AX385" s="283">
        <f t="shared" si="123"/>
        <v>0</v>
      </c>
      <c r="AY385" s="283">
        <f t="shared" si="123"/>
        <v>0</v>
      </c>
      <c r="AZ385" s="283">
        <f t="shared" si="123"/>
        <v>0</v>
      </c>
      <c r="BA385" s="283">
        <f t="shared" si="123"/>
        <v>0</v>
      </c>
      <c r="BB385" s="283">
        <f t="shared" si="123"/>
        <v>0</v>
      </c>
      <c r="BC385" s="283">
        <f t="shared" si="123"/>
        <v>0</v>
      </c>
      <c r="BD385" s="283">
        <f t="shared" si="123"/>
        <v>0</v>
      </c>
      <c r="BE385" s="283">
        <f t="shared" si="123"/>
        <v>0</v>
      </c>
      <c r="BF385" s="283">
        <f t="shared" si="123"/>
        <v>0</v>
      </c>
      <c r="BG385" s="283">
        <f t="shared" si="123"/>
        <v>0</v>
      </c>
      <c r="BH385" s="413"/>
      <c r="BI385" s="413"/>
      <c r="BJ385" s="413"/>
      <c r="BK385" s="414"/>
      <c r="BL385" s="411"/>
      <c r="BM385" s="411"/>
    </row>
    <row r="386" spans="1:65" s="252" customFormat="1" ht="31.5" x14ac:dyDescent="0.25">
      <c r="A386" s="425">
        <f>A382+1</f>
        <v>245</v>
      </c>
      <c r="B386" s="280" t="s">
        <v>826</v>
      </c>
      <c r="C386" s="413" t="s">
        <v>1082</v>
      </c>
      <c r="D386" s="264"/>
      <c r="E386" s="265">
        <v>4.5</v>
      </c>
      <c r="F386" s="267"/>
      <c r="G386" s="282">
        <f t="shared" si="120"/>
        <v>4.4999999999999991</v>
      </c>
      <c r="H386" s="281">
        <f>SUM(H387:H389)</f>
        <v>0.45999999999999996</v>
      </c>
      <c r="I386" s="281">
        <f t="shared" ref="I386:BG386" si="124">SUM(I387:I389)</f>
        <v>0</v>
      </c>
      <c r="J386" s="281">
        <f t="shared" si="124"/>
        <v>0</v>
      </c>
      <c r="K386" s="281">
        <f t="shared" si="124"/>
        <v>2.2999999999999998</v>
      </c>
      <c r="L386" s="281">
        <f t="shared" si="124"/>
        <v>0.56999999999999995</v>
      </c>
      <c r="M386" s="281">
        <f t="shared" si="124"/>
        <v>0</v>
      </c>
      <c r="N386" s="281">
        <f t="shared" si="124"/>
        <v>0</v>
      </c>
      <c r="O386" s="281">
        <f t="shared" si="124"/>
        <v>0</v>
      </c>
      <c r="P386" s="281">
        <f t="shared" si="124"/>
        <v>0</v>
      </c>
      <c r="Q386" s="281">
        <f t="shared" si="124"/>
        <v>0</v>
      </c>
      <c r="R386" s="281">
        <f t="shared" si="124"/>
        <v>0</v>
      </c>
      <c r="S386" s="281">
        <f t="shared" si="124"/>
        <v>0</v>
      </c>
      <c r="T386" s="281">
        <f t="shared" si="124"/>
        <v>0</v>
      </c>
      <c r="U386" s="284">
        <f t="shared" si="124"/>
        <v>0</v>
      </c>
      <c r="V386" s="281">
        <f t="shared" si="124"/>
        <v>0</v>
      </c>
      <c r="W386" s="281">
        <f t="shared" si="124"/>
        <v>0</v>
      </c>
      <c r="X386" s="281">
        <f t="shared" si="124"/>
        <v>0</v>
      </c>
      <c r="Y386" s="281">
        <f t="shared" si="124"/>
        <v>0</v>
      </c>
      <c r="Z386" s="281">
        <f t="shared" si="124"/>
        <v>0</v>
      </c>
      <c r="AA386" s="281">
        <f t="shared" si="124"/>
        <v>0</v>
      </c>
      <c r="AB386" s="281">
        <f t="shared" si="124"/>
        <v>0</v>
      </c>
      <c r="AC386" s="281">
        <f t="shared" si="124"/>
        <v>0</v>
      </c>
      <c r="AD386" s="281">
        <f t="shared" si="124"/>
        <v>0</v>
      </c>
      <c r="AE386" s="281">
        <f t="shared" si="124"/>
        <v>0</v>
      </c>
      <c r="AF386" s="281">
        <f t="shared" si="124"/>
        <v>0.32</v>
      </c>
      <c r="AG386" s="281">
        <f t="shared" si="124"/>
        <v>0</v>
      </c>
      <c r="AH386" s="281">
        <f t="shared" si="124"/>
        <v>0</v>
      </c>
      <c r="AI386" s="281">
        <f t="shared" si="124"/>
        <v>0</v>
      </c>
      <c r="AJ386" s="281">
        <f t="shared" si="124"/>
        <v>0</v>
      </c>
      <c r="AK386" s="281">
        <f t="shared" si="124"/>
        <v>0</v>
      </c>
      <c r="AL386" s="281">
        <f t="shared" si="124"/>
        <v>0</v>
      </c>
      <c r="AM386" s="281">
        <f t="shared" si="124"/>
        <v>0</v>
      </c>
      <c r="AN386" s="281">
        <f t="shared" si="124"/>
        <v>0</v>
      </c>
      <c r="AO386" s="281">
        <f t="shared" si="124"/>
        <v>0</v>
      </c>
      <c r="AP386" s="281">
        <f t="shared" si="124"/>
        <v>0</v>
      </c>
      <c r="AQ386" s="281">
        <f t="shared" si="124"/>
        <v>0</v>
      </c>
      <c r="AR386" s="281">
        <f t="shared" si="124"/>
        <v>0</v>
      </c>
      <c r="AS386" s="281">
        <f t="shared" si="124"/>
        <v>0</v>
      </c>
      <c r="AT386" s="281">
        <f t="shared" si="124"/>
        <v>0.85</v>
      </c>
      <c r="AU386" s="281">
        <f t="shared" si="124"/>
        <v>0</v>
      </c>
      <c r="AV386" s="281">
        <f t="shared" si="124"/>
        <v>0</v>
      </c>
      <c r="AW386" s="281">
        <f t="shared" si="124"/>
        <v>0</v>
      </c>
      <c r="AX386" s="281">
        <f t="shared" si="124"/>
        <v>0</v>
      </c>
      <c r="AY386" s="281">
        <f t="shared" si="124"/>
        <v>0</v>
      </c>
      <c r="AZ386" s="281">
        <f t="shared" si="124"/>
        <v>0</v>
      </c>
      <c r="BA386" s="281">
        <f t="shared" si="124"/>
        <v>0</v>
      </c>
      <c r="BB386" s="281">
        <f t="shared" si="124"/>
        <v>0</v>
      </c>
      <c r="BC386" s="281">
        <f t="shared" si="124"/>
        <v>0</v>
      </c>
      <c r="BD386" s="281">
        <f t="shared" si="124"/>
        <v>0</v>
      </c>
      <c r="BE386" s="281">
        <f t="shared" si="124"/>
        <v>0</v>
      </c>
      <c r="BF386" s="281">
        <f t="shared" si="124"/>
        <v>0</v>
      </c>
      <c r="BG386" s="281">
        <f t="shared" si="124"/>
        <v>0</v>
      </c>
      <c r="BH386" s="413" t="s">
        <v>66</v>
      </c>
      <c r="BI386" s="413" t="s">
        <v>1082</v>
      </c>
      <c r="BJ386" s="413" t="s">
        <v>827</v>
      </c>
      <c r="BK386" s="414" t="s">
        <v>120</v>
      </c>
      <c r="BL386" s="411" t="s">
        <v>825</v>
      </c>
      <c r="BM386" s="411" t="s">
        <v>206</v>
      </c>
    </row>
    <row r="387" spans="1:65" s="252" customFormat="1" ht="21.75" customHeight="1" x14ac:dyDescent="0.25">
      <c r="A387" s="425"/>
      <c r="B387" s="285" t="s">
        <v>49</v>
      </c>
      <c r="C387" s="413"/>
      <c r="D387" s="264" t="s">
        <v>49</v>
      </c>
      <c r="E387" s="281">
        <f t="shared" ref="E387:E445" si="125">F387+G387</f>
        <v>1.8</v>
      </c>
      <c r="F387" s="281"/>
      <c r="G387" s="282">
        <f t="shared" si="120"/>
        <v>1.8</v>
      </c>
      <c r="H387" s="283">
        <v>0.18</v>
      </c>
      <c r="I387" s="283"/>
      <c r="J387" s="283"/>
      <c r="K387" s="283">
        <v>0.62000000000000011</v>
      </c>
      <c r="L387" s="283">
        <v>0.23</v>
      </c>
      <c r="M387" s="283"/>
      <c r="N387" s="283"/>
      <c r="O387" s="283"/>
      <c r="P387" s="283"/>
      <c r="Q387" s="283"/>
      <c r="R387" s="283"/>
      <c r="S387" s="283"/>
      <c r="T387" s="283"/>
      <c r="U387" s="283">
        <v>0</v>
      </c>
      <c r="V387" s="283"/>
      <c r="W387" s="283"/>
      <c r="X387" s="283"/>
      <c r="Y387" s="283">
        <v>0</v>
      </c>
      <c r="Z387" s="283">
        <v>0</v>
      </c>
      <c r="AA387" s="283">
        <v>0</v>
      </c>
      <c r="AB387" s="283">
        <v>0</v>
      </c>
      <c r="AC387" s="283">
        <v>0</v>
      </c>
      <c r="AD387" s="283">
        <v>0</v>
      </c>
      <c r="AE387" s="283">
        <v>0</v>
      </c>
      <c r="AF387" s="283">
        <v>0.02</v>
      </c>
      <c r="AG387" s="283">
        <v>0</v>
      </c>
      <c r="AH387" s="283">
        <v>0</v>
      </c>
      <c r="AI387" s="283">
        <v>0</v>
      </c>
      <c r="AJ387" s="283">
        <v>0</v>
      </c>
      <c r="AK387" s="283">
        <v>0</v>
      </c>
      <c r="AL387" s="283">
        <v>0</v>
      </c>
      <c r="AM387" s="283">
        <v>0</v>
      </c>
      <c r="AN387" s="283">
        <v>0</v>
      </c>
      <c r="AO387" s="283">
        <v>0</v>
      </c>
      <c r="AP387" s="283">
        <v>0</v>
      </c>
      <c r="AQ387" s="283">
        <v>0</v>
      </c>
      <c r="AR387" s="283">
        <v>0</v>
      </c>
      <c r="AS387" s="283">
        <v>0</v>
      </c>
      <c r="AT387" s="283">
        <v>0.75</v>
      </c>
      <c r="AU387" s="283">
        <v>0</v>
      </c>
      <c r="AV387" s="283">
        <v>0</v>
      </c>
      <c r="AW387" s="283">
        <v>0</v>
      </c>
      <c r="AX387" s="283">
        <v>0</v>
      </c>
      <c r="AY387" s="283">
        <v>0</v>
      </c>
      <c r="AZ387" s="283">
        <v>0</v>
      </c>
      <c r="BA387" s="283">
        <v>0</v>
      </c>
      <c r="BB387" s="283">
        <v>0</v>
      </c>
      <c r="BC387" s="283">
        <v>0</v>
      </c>
      <c r="BD387" s="283">
        <v>0</v>
      </c>
      <c r="BE387" s="283">
        <v>0</v>
      </c>
      <c r="BF387" s="283">
        <v>0</v>
      </c>
      <c r="BG387" s="283">
        <v>0</v>
      </c>
      <c r="BH387" s="413"/>
      <c r="BI387" s="413"/>
      <c r="BJ387" s="413"/>
      <c r="BK387" s="414"/>
      <c r="BL387" s="411"/>
      <c r="BM387" s="411"/>
    </row>
    <row r="388" spans="1:65" s="252" customFormat="1" ht="21.75" customHeight="1" x14ac:dyDescent="0.25">
      <c r="A388" s="425"/>
      <c r="B388" s="285" t="s">
        <v>34</v>
      </c>
      <c r="C388" s="413"/>
      <c r="D388" s="264" t="s">
        <v>34</v>
      </c>
      <c r="E388" s="281">
        <f t="shared" si="125"/>
        <v>1.35</v>
      </c>
      <c r="F388" s="281"/>
      <c r="G388" s="282">
        <f t="shared" si="120"/>
        <v>1.35</v>
      </c>
      <c r="H388" s="283">
        <v>0.15</v>
      </c>
      <c r="I388" s="283"/>
      <c r="J388" s="283"/>
      <c r="K388" s="283">
        <v>0.63</v>
      </c>
      <c r="L388" s="283">
        <v>0.17</v>
      </c>
      <c r="M388" s="283"/>
      <c r="N388" s="283"/>
      <c r="O388" s="283"/>
      <c r="P388" s="283"/>
      <c r="Q388" s="283"/>
      <c r="R388" s="283"/>
      <c r="S388" s="283"/>
      <c r="T388" s="283"/>
      <c r="U388" s="287">
        <v>0</v>
      </c>
      <c r="V388" s="283"/>
      <c r="W388" s="283"/>
      <c r="X388" s="283"/>
      <c r="Y388" s="283">
        <v>0</v>
      </c>
      <c r="Z388" s="283">
        <v>0</v>
      </c>
      <c r="AA388" s="283">
        <v>0</v>
      </c>
      <c r="AB388" s="283">
        <v>0</v>
      </c>
      <c r="AC388" s="283">
        <v>0</v>
      </c>
      <c r="AD388" s="283">
        <v>0</v>
      </c>
      <c r="AE388" s="283">
        <v>0</v>
      </c>
      <c r="AF388" s="283">
        <v>0.3</v>
      </c>
      <c r="AG388" s="283">
        <v>0</v>
      </c>
      <c r="AH388" s="283">
        <v>0</v>
      </c>
      <c r="AI388" s="283">
        <v>0</v>
      </c>
      <c r="AJ388" s="283">
        <v>0</v>
      </c>
      <c r="AK388" s="283">
        <v>0</v>
      </c>
      <c r="AL388" s="283">
        <v>0</v>
      </c>
      <c r="AM388" s="283">
        <v>0</v>
      </c>
      <c r="AN388" s="283">
        <v>0</v>
      </c>
      <c r="AO388" s="283">
        <v>0</v>
      </c>
      <c r="AP388" s="283">
        <v>0</v>
      </c>
      <c r="AQ388" s="283">
        <v>0</v>
      </c>
      <c r="AR388" s="283">
        <v>0</v>
      </c>
      <c r="AS388" s="283">
        <v>0</v>
      </c>
      <c r="AT388" s="283">
        <v>0.1</v>
      </c>
      <c r="AU388" s="283">
        <v>0</v>
      </c>
      <c r="AV388" s="283">
        <v>0</v>
      </c>
      <c r="AW388" s="283">
        <v>0</v>
      </c>
      <c r="AX388" s="283">
        <v>0</v>
      </c>
      <c r="AY388" s="283">
        <v>0</v>
      </c>
      <c r="AZ388" s="283">
        <v>0</v>
      </c>
      <c r="BA388" s="283">
        <v>0</v>
      </c>
      <c r="BB388" s="283">
        <v>0</v>
      </c>
      <c r="BC388" s="283">
        <v>0</v>
      </c>
      <c r="BD388" s="283">
        <v>0</v>
      </c>
      <c r="BE388" s="283">
        <v>0</v>
      </c>
      <c r="BF388" s="283">
        <v>0</v>
      </c>
      <c r="BG388" s="283">
        <v>0</v>
      </c>
      <c r="BH388" s="413"/>
      <c r="BI388" s="413"/>
      <c r="BJ388" s="413"/>
      <c r="BK388" s="414"/>
      <c r="BL388" s="411"/>
      <c r="BM388" s="411"/>
    </row>
    <row r="389" spans="1:65" s="252" customFormat="1" ht="21.75" customHeight="1" x14ac:dyDescent="0.25">
      <c r="A389" s="425"/>
      <c r="B389" s="285" t="s">
        <v>31</v>
      </c>
      <c r="C389" s="413"/>
      <c r="D389" s="264" t="s">
        <v>31</v>
      </c>
      <c r="E389" s="281">
        <f t="shared" si="125"/>
        <v>1.35</v>
      </c>
      <c r="F389" s="281"/>
      <c r="G389" s="282">
        <f t="shared" si="120"/>
        <v>1.35</v>
      </c>
      <c r="H389" s="283">
        <v>0.13</v>
      </c>
      <c r="I389" s="283"/>
      <c r="J389" s="283"/>
      <c r="K389" s="283">
        <f>1.11-0.06</f>
        <v>1.05</v>
      </c>
      <c r="L389" s="283">
        <v>0.16999999999999996</v>
      </c>
      <c r="M389" s="283"/>
      <c r="N389" s="283"/>
      <c r="O389" s="283"/>
      <c r="P389" s="283"/>
      <c r="Q389" s="283"/>
      <c r="R389" s="283"/>
      <c r="S389" s="283"/>
      <c r="T389" s="283"/>
      <c r="U389" s="283">
        <v>0</v>
      </c>
      <c r="V389" s="283"/>
      <c r="W389" s="283"/>
      <c r="X389" s="283"/>
      <c r="Y389" s="283">
        <v>0</v>
      </c>
      <c r="Z389" s="283">
        <v>0</v>
      </c>
      <c r="AA389" s="283">
        <v>0</v>
      </c>
      <c r="AB389" s="283">
        <v>0</v>
      </c>
      <c r="AC389" s="283">
        <v>0</v>
      </c>
      <c r="AD389" s="283">
        <v>0</v>
      </c>
      <c r="AE389" s="283">
        <v>0</v>
      </c>
      <c r="AF389" s="283"/>
      <c r="AG389" s="283">
        <v>0</v>
      </c>
      <c r="AH389" s="283">
        <v>0</v>
      </c>
      <c r="AI389" s="283">
        <v>0</v>
      </c>
      <c r="AJ389" s="283">
        <v>0</v>
      </c>
      <c r="AK389" s="283">
        <v>0</v>
      </c>
      <c r="AL389" s="283">
        <v>0</v>
      </c>
      <c r="AM389" s="283">
        <v>0</v>
      </c>
      <c r="AN389" s="283">
        <v>0</v>
      </c>
      <c r="AO389" s="283">
        <v>0</v>
      </c>
      <c r="AP389" s="283">
        <v>0</v>
      </c>
      <c r="AQ389" s="283">
        <v>0</v>
      </c>
      <c r="AR389" s="283">
        <v>0</v>
      </c>
      <c r="AS389" s="283">
        <v>0</v>
      </c>
      <c r="AT389" s="283"/>
      <c r="AU389" s="283">
        <v>0</v>
      </c>
      <c r="AV389" s="283">
        <v>0</v>
      </c>
      <c r="AW389" s="283">
        <v>0</v>
      </c>
      <c r="AX389" s="283">
        <v>0</v>
      </c>
      <c r="AY389" s="283">
        <v>0</v>
      </c>
      <c r="AZ389" s="283">
        <v>0</v>
      </c>
      <c r="BA389" s="283">
        <v>0</v>
      </c>
      <c r="BB389" s="283">
        <v>0</v>
      </c>
      <c r="BC389" s="283">
        <v>0</v>
      </c>
      <c r="BD389" s="283">
        <v>0</v>
      </c>
      <c r="BE389" s="283">
        <v>0</v>
      </c>
      <c r="BF389" s="283">
        <v>0</v>
      </c>
      <c r="BG389" s="283">
        <v>0</v>
      </c>
      <c r="BH389" s="413"/>
      <c r="BI389" s="413"/>
      <c r="BJ389" s="413"/>
      <c r="BK389" s="414"/>
      <c r="BL389" s="411"/>
      <c r="BM389" s="411"/>
    </row>
    <row r="390" spans="1:65" s="253" customFormat="1" ht="31.5" x14ac:dyDescent="0.25">
      <c r="A390" s="425">
        <f>A386+1</f>
        <v>246</v>
      </c>
      <c r="B390" s="288" t="s">
        <v>828</v>
      </c>
      <c r="C390" s="425" t="s">
        <v>65</v>
      </c>
      <c r="D390" s="264"/>
      <c r="E390" s="265">
        <f t="shared" si="125"/>
        <v>4.9999999999999991</v>
      </c>
      <c r="F390" s="265"/>
      <c r="G390" s="267">
        <f>SUM(H390:M390,Q390,U390,Y390:BG390)</f>
        <v>4.9999999999999991</v>
      </c>
      <c r="H390" s="283">
        <v>0.23</v>
      </c>
      <c r="I390" s="283"/>
      <c r="J390" s="283"/>
      <c r="K390" s="283">
        <v>0.34</v>
      </c>
      <c r="L390" s="283">
        <v>3.67</v>
      </c>
      <c r="M390" s="283"/>
      <c r="N390" s="283"/>
      <c r="O390" s="283"/>
      <c r="P390" s="283"/>
      <c r="Q390" s="283"/>
      <c r="R390" s="283"/>
      <c r="S390" s="283"/>
      <c r="T390" s="283"/>
      <c r="U390" s="287">
        <f t="shared" ref="U390:U398" si="126">SUM(V390:X390)</f>
        <v>0</v>
      </c>
      <c r="V390" s="283"/>
      <c r="W390" s="283"/>
      <c r="X390" s="283"/>
      <c r="Y390" s="283">
        <v>0.1</v>
      </c>
      <c r="Z390" s="283"/>
      <c r="AA390" s="283"/>
      <c r="AB390" s="283"/>
      <c r="AC390" s="283">
        <v>0.06</v>
      </c>
      <c r="AD390" s="283">
        <v>0.09</v>
      </c>
      <c r="AE390" s="283"/>
      <c r="AF390" s="283"/>
      <c r="AG390" s="283"/>
      <c r="AH390" s="283"/>
      <c r="AI390" s="283">
        <v>0.16</v>
      </c>
      <c r="AJ390" s="283"/>
      <c r="AK390" s="283"/>
      <c r="AL390" s="283"/>
      <c r="AM390" s="283"/>
      <c r="AN390" s="283"/>
      <c r="AO390" s="283"/>
      <c r="AP390" s="283"/>
      <c r="AQ390" s="283"/>
      <c r="AR390" s="283"/>
      <c r="AS390" s="283"/>
      <c r="AT390" s="284"/>
      <c r="AU390" s="283">
        <v>0.35</v>
      </c>
      <c r="AV390" s="283"/>
      <c r="AW390" s="283"/>
      <c r="AX390" s="283"/>
      <c r="AY390" s="283"/>
      <c r="AZ390" s="283"/>
      <c r="BA390" s="283"/>
      <c r="BB390" s="283"/>
      <c r="BC390" s="283"/>
      <c r="BD390" s="283"/>
      <c r="BE390" s="283"/>
      <c r="BF390" s="283"/>
      <c r="BG390" s="283"/>
      <c r="BH390" s="426" t="s">
        <v>197</v>
      </c>
      <c r="BI390" s="425" t="s">
        <v>65</v>
      </c>
      <c r="BJ390" s="425" t="s">
        <v>829</v>
      </c>
      <c r="BK390" s="414" t="s">
        <v>398</v>
      </c>
      <c r="BL390" s="434" t="s">
        <v>361</v>
      </c>
      <c r="BM390" s="430" t="s">
        <v>1026</v>
      </c>
    </row>
    <row r="391" spans="1:65" s="255" customFormat="1" x14ac:dyDescent="0.25">
      <c r="A391" s="425"/>
      <c r="B391" s="289" t="s">
        <v>49</v>
      </c>
      <c r="C391" s="425"/>
      <c r="D391" s="290" t="s">
        <v>49</v>
      </c>
      <c r="E391" s="291">
        <f t="shared" si="125"/>
        <v>2.59</v>
      </c>
      <c r="F391" s="291"/>
      <c r="G391" s="292">
        <f>SUM(H391:BG391)-M391-Q391-U391</f>
        <v>2.59</v>
      </c>
      <c r="H391" s="293">
        <v>0.09</v>
      </c>
      <c r="I391" s="293"/>
      <c r="J391" s="293"/>
      <c r="K391" s="293">
        <v>0.14000000000000001</v>
      </c>
      <c r="L391" s="283">
        <v>1.96</v>
      </c>
      <c r="M391" s="293"/>
      <c r="N391" s="293"/>
      <c r="O391" s="293"/>
      <c r="P391" s="293"/>
      <c r="Q391" s="293"/>
      <c r="R391" s="293"/>
      <c r="S391" s="293"/>
      <c r="T391" s="293"/>
      <c r="U391" s="287">
        <f t="shared" si="126"/>
        <v>0</v>
      </c>
      <c r="V391" s="293"/>
      <c r="W391" s="293"/>
      <c r="X391" s="293"/>
      <c r="Y391" s="293">
        <v>0.04</v>
      </c>
      <c r="Z391" s="293"/>
      <c r="AA391" s="293"/>
      <c r="AB391" s="293"/>
      <c r="AC391" s="293">
        <v>0.02</v>
      </c>
      <c r="AD391" s="293">
        <v>0.04</v>
      </c>
      <c r="AE391" s="293"/>
      <c r="AF391" s="293"/>
      <c r="AG391" s="293"/>
      <c r="AH391" s="293"/>
      <c r="AI391" s="293">
        <v>0.06</v>
      </c>
      <c r="AJ391" s="293"/>
      <c r="AK391" s="293"/>
      <c r="AL391" s="293"/>
      <c r="AM391" s="293"/>
      <c r="AN391" s="293"/>
      <c r="AO391" s="293"/>
      <c r="AP391" s="293"/>
      <c r="AQ391" s="293"/>
      <c r="AR391" s="293"/>
      <c r="AS391" s="293"/>
      <c r="AT391" s="293"/>
      <c r="AU391" s="293">
        <v>0.24</v>
      </c>
      <c r="AV391" s="293"/>
      <c r="AW391" s="293"/>
      <c r="AX391" s="293"/>
      <c r="AY391" s="293"/>
      <c r="AZ391" s="293"/>
      <c r="BA391" s="293"/>
      <c r="BB391" s="293"/>
      <c r="BC391" s="293"/>
      <c r="BD391" s="293"/>
      <c r="BE391" s="293"/>
      <c r="BF391" s="293"/>
      <c r="BG391" s="293"/>
      <c r="BH391" s="426"/>
      <c r="BI391" s="425"/>
      <c r="BJ391" s="425"/>
      <c r="BK391" s="414"/>
      <c r="BL391" s="434"/>
      <c r="BM391" s="430"/>
    </row>
    <row r="392" spans="1:65" s="255" customFormat="1" x14ac:dyDescent="0.25">
      <c r="A392" s="425"/>
      <c r="B392" s="289" t="s">
        <v>34</v>
      </c>
      <c r="C392" s="425"/>
      <c r="D392" s="290" t="s">
        <v>34</v>
      </c>
      <c r="E392" s="291">
        <f t="shared" si="125"/>
        <v>1.41</v>
      </c>
      <c r="F392" s="291"/>
      <c r="G392" s="292">
        <f>SUM(H392:BG392)-M392-Q392-U392</f>
        <v>1.41</v>
      </c>
      <c r="H392" s="293">
        <v>7.0000000000000007E-2</v>
      </c>
      <c r="I392" s="293"/>
      <c r="J392" s="293"/>
      <c r="K392" s="293">
        <v>0.1</v>
      </c>
      <c r="L392" s="283">
        <v>1.1099999999999999</v>
      </c>
      <c r="M392" s="293"/>
      <c r="N392" s="293"/>
      <c r="O392" s="293"/>
      <c r="P392" s="293"/>
      <c r="Q392" s="293"/>
      <c r="R392" s="293"/>
      <c r="S392" s="293"/>
      <c r="T392" s="293"/>
      <c r="U392" s="287">
        <f>SUM(V392:X392)</f>
        <v>0</v>
      </c>
      <c r="V392" s="293"/>
      <c r="W392" s="293"/>
      <c r="X392" s="293"/>
      <c r="Y392" s="293">
        <v>0.03</v>
      </c>
      <c r="Z392" s="293"/>
      <c r="AA392" s="293"/>
      <c r="AB392" s="293"/>
      <c r="AC392" s="293">
        <v>0.02</v>
      </c>
      <c r="AD392" s="293">
        <v>0.03</v>
      </c>
      <c r="AE392" s="293"/>
      <c r="AF392" s="293"/>
      <c r="AG392" s="293"/>
      <c r="AH392" s="293"/>
      <c r="AI392" s="293">
        <v>0.05</v>
      </c>
      <c r="AJ392" s="293"/>
      <c r="AK392" s="293"/>
      <c r="AL392" s="293"/>
      <c r="AM392" s="293"/>
      <c r="AN392" s="293"/>
      <c r="AO392" s="293"/>
      <c r="AP392" s="293"/>
      <c r="AQ392" s="293"/>
      <c r="AR392" s="293"/>
      <c r="AS392" s="293"/>
      <c r="AT392" s="293"/>
      <c r="AU392" s="293"/>
      <c r="AV392" s="293"/>
      <c r="AW392" s="293"/>
      <c r="AX392" s="293"/>
      <c r="AY392" s="293"/>
      <c r="AZ392" s="293"/>
      <c r="BA392" s="293"/>
      <c r="BB392" s="293"/>
      <c r="BC392" s="293"/>
      <c r="BD392" s="293"/>
      <c r="BE392" s="293"/>
      <c r="BF392" s="293"/>
      <c r="BG392" s="293"/>
      <c r="BH392" s="426"/>
      <c r="BI392" s="425"/>
      <c r="BJ392" s="425"/>
      <c r="BK392" s="414"/>
      <c r="BL392" s="434"/>
      <c r="BM392" s="430"/>
    </row>
    <row r="393" spans="1:65" s="255" customFormat="1" x14ac:dyDescent="0.25">
      <c r="A393" s="425"/>
      <c r="B393" s="289" t="s">
        <v>31</v>
      </c>
      <c r="C393" s="425"/>
      <c r="D393" s="290" t="s">
        <v>31</v>
      </c>
      <c r="E393" s="291">
        <f t="shared" si="125"/>
        <v>1.0000000000000002</v>
      </c>
      <c r="F393" s="291"/>
      <c r="G393" s="292">
        <f>SUM(H393:BG393)-M393-Q393-U393</f>
        <v>1.0000000000000002</v>
      </c>
      <c r="H393" s="293">
        <v>7.0000000000000007E-2</v>
      </c>
      <c r="I393" s="293"/>
      <c r="J393" s="293"/>
      <c r="K393" s="293">
        <v>0.1</v>
      </c>
      <c r="L393" s="283">
        <v>0.6</v>
      </c>
      <c r="M393" s="293"/>
      <c r="N393" s="293"/>
      <c r="O393" s="293"/>
      <c r="P393" s="293"/>
      <c r="Q393" s="293"/>
      <c r="R393" s="293"/>
      <c r="S393" s="293"/>
      <c r="T393" s="293"/>
      <c r="U393" s="287">
        <f t="shared" si="126"/>
        <v>0</v>
      </c>
      <c r="V393" s="293"/>
      <c r="W393" s="293"/>
      <c r="X393" s="293"/>
      <c r="Y393" s="293">
        <v>0.03</v>
      </c>
      <c r="Z393" s="293"/>
      <c r="AA393" s="293"/>
      <c r="AB393" s="293"/>
      <c r="AC393" s="293">
        <v>0.02</v>
      </c>
      <c r="AD393" s="293">
        <v>0.02</v>
      </c>
      <c r="AE393" s="293"/>
      <c r="AF393" s="293"/>
      <c r="AG393" s="293"/>
      <c r="AH393" s="293"/>
      <c r="AI393" s="293">
        <v>0.05</v>
      </c>
      <c r="AJ393" s="293"/>
      <c r="AK393" s="293"/>
      <c r="AL393" s="293"/>
      <c r="AM393" s="293"/>
      <c r="AN393" s="293"/>
      <c r="AO393" s="293"/>
      <c r="AP393" s="293"/>
      <c r="AQ393" s="293"/>
      <c r="AR393" s="293"/>
      <c r="AS393" s="293"/>
      <c r="AT393" s="293"/>
      <c r="AU393" s="293">
        <v>0.11</v>
      </c>
      <c r="AV393" s="293"/>
      <c r="AW393" s="293"/>
      <c r="AX393" s="293"/>
      <c r="AY393" s="293"/>
      <c r="AZ393" s="293"/>
      <c r="BA393" s="293"/>
      <c r="BB393" s="293"/>
      <c r="BC393" s="293"/>
      <c r="BD393" s="293"/>
      <c r="BE393" s="293"/>
      <c r="BF393" s="293"/>
      <c r="BG393" s="293"/>
      <c r="BH393" s="426"/>
      <c r="BI393" s="425"/>
      <c r="BJ393" s="425"/>
      <c r="BK393" s="414"/>
      <c r="BL393" s="434"/>
      <c r="BM393" s="430"/>
    </row>
    <row r="394" spans="1:65" s="252" customFormat="1" ht="31.5" x14ac:dyDescent="0.25">
      <c r="A394" s="425">
        <f>A390+1</f>
        <v>247</v>
      </c>
      <c r="B394" s="288" t="s">
        <v>830</v>
      </c>
      <c r="C394" s="435" t="s">
        <v>831</v>
      </c>
      <c r="D394" s="264"/>
      <c r="E394" s="265">
        <f t="shared" si="125"/>
        <v>40.070000000000007</v>
      </c>
      <c r="F394" s="265"/>
      <c r="G394" s="267">
        <f>SUM(H394:M394,Q394,U394,Y394:BG394)</f>
        <v>40.070000000000007</v>
      </c>
      <c r="H394" s="283">
        <f>SUM(H395:H398)</f>
        <v>1.7</v>
      </c>
      <c r="I394" s="283">
        <f t="shared" ref="I394:BG394" si="127">SUM(I395:I398)</f>
        <v>1.67</v>
      </c>
      <c r="J394" s="283">
        <f t="shared" si="127"/>
        <v>0</v>
      </c>
      <c r="K394" s="283">
        <f t="shared" si="127"/>
        <v>0.83000000000000007</v>
      </c>
      <c r="L394" s="283">
        <f t="shared" si="127"/>
        <v>5.05</v>
      </c>
      <c r="M394" s="283">
        <f t="shared" si="127"/>
        <v>0</v>
      </c>
      <c r="N394" s="283">
        <f t="shared" si="127"/>
        <v>0</v>
      </c>
      <c r="O394" s="283">
        <f t="shared" si="127"/>
        <v>0</v>
      </c>
      <c r="P394" s="283">
        <f t="shared" si="127"/>
        <v>0</v>
      </c>
      <c r="Q394" s="283">
        <f t="shared" si="127"/>
        <v>0</v>
      </c>
      <c r="R394" s="283">
        <f t="shared" si="127"/>
        <v>0</v>
      </c>
      <c r="S394" s="283">
        <f t="shared" si="127"/>
        <v>0</v>
      </c>
      <c r="T394" s="283">
        <f t="shared" si="127"/>
        <v>0</v>
      </c>
      <c r="U394" s="283">
        <f t="shared" si="127"/>
        <v>24.45</v>
      </c>
      <c r="V394" s="283">
        <f t="shared" si="127"/>
        <v>19.78</v>
      </c>
      <c r="W394" s="283">
        <f t="shared" si="127"/>
        <v>3.37</v>
      </c>
      <c r="X394" s="283">
        <f t="shared" si="127"/>
        <v>1.3</v>
      </c>
      <c r="Y394" s="283">
        <f t="shared" si="127"/>
        <v>0.08</v>
      </c>
      <c r="Z394" s="283">
        <f t="shared" si="127"/>
        <v>0</v>
      </c>
      <c r="AA394" s="283">
        <f t="shared" si="127"/>
        <v>0</v>
      </c>
      <c r="AB394" s="283">
        <f t="shared" si="127"/>
        <v>0</v>
      </c>
      <c r="AC394" s="283">
        <f t="shared" si="127"/>
        <v>0</v>
      </c>
      <c r="AD394" s="283">
        <f t="shared" si="127"/>
        <v>0</v>
      </c>
      <c r="AE394" s="283">
        <f t="shared" si="127"/>
        <v>0</v>
      </c>
      <c r="AF394" s="283">
        <f t="shared" si="127"/>
        <v>0.2</v>
      </c>
      <c r="AG394" s="283">
        <f t="shared" si="127"/>
        <v>0</v>
      </c>
      <c r="AH394" s="283">
        <f t="shared" si="127"/>
        <v>0</v>
      </c>
      <c r="AI394" s="283">
        <f t="shared" si="127"/>
        <v>0</v>
      </c>
      <c r="AJ394" s="283">
        <f t="shared" si="127"/>
        <v>0</v>
      </c>
      <c r="AK394" s="283">
        <f t="shared" si="127"/>
        <v>0</v>
      </c>
      <c r="AL394" s="283">
        <f t="shared" si="127"/>
        <v>0</v>
      </c>
      <c r="AM394" s="283">
        <f t="shared" si="127"/>
        <v>0</v>
      </c>
      <c r="AN394" s="283">
        <f t="shared" si="127"/>
        <v>0</v>
      </c>
      <c r="AO394" s="283">
        <f t="shared" si="127"/>
        <v>0</v>
      </c>
      <c r="AP394" s="283">
        <f t="shared" si="127"/>
        <v>0</v>
      </c>
      <c r="AQ394" s="283">
        <f t="shared" si="127"/>
        <v>0</v>
      </c>
      <c r="AR394" s="283">
        <f t="shared" si="127"/>
        <v>0</v>
      </c>
      <c r="AS394" s="283">
        <f t="shared" si="127"/>
        <v>0</v>
      </c>
      <c r="AT394" s="283">
        <f t="shared" si="127"/>
        <v>0</v>
      </c>
      <c r="AU394" s="283">
        <f t="shared" si="127"/>
        <v>0.56000000000000005</v>
      </c>
      <c r="AV394" s="283">
        <f t="shared" si="127"/>
        <v>0</v>
      </c>
      <c r="AW394" s="283">
        <f t="shared" si="127"/>
        <v>0</v>
      </c>
      <c r="AX394" s="283">
        <f t="shared" si="127"/>
        <v>0</v>
      </c>
      <c r="AY394" s="283">
        <f t="shared" si="127"/>
        <v>0</v>
      </c>
      <c r="AZ394" s="283">
        <f t="shared" si="127"/>
        <v>0</v>
      </c>
      <c r="BA394" s="283">
        <f t="shared" si="127"/>
        <v>0</v>
      </c>
      <c r="BB394" s="283">
        <f t="shared" si="127"/>
        <v>0</v>
      </c>
      <c r="BC394" s="283">
        <f t="shared" si="127"/>
        <v>0</v>
      </c>
      <c r="BD394" s="283">
        <f t="shared" si="127"/>
        <v>2.08</v>
      </c>
      <c r="BE394" s="283">
        <f t="shared" si="127"/>
        <v>0</v>
      </c>
      <c r="BF394" s="283">
        <f t="shared" si="127"/>
        <v>0</v>
      </c>
      <c r="BG394" s="283">
        <f t="shared" si="127"/>
        <v>3.45</v>
      </c>
      <c r="BH394" s="426" t="s">
        <v>832</v>
      </c>
      <c r="BI394" s="435" t="s">
        <v>831</v>
      </c>
      <c r="BJ394" s="429" t="s">
        <v>833</v>
      </c>
      <c r="BK394" s="414" t="s">
        <v>398</v>
      </c>
      <c r="BL394" s="434" t="s">
        <v>361</v>
      </c>
      <c r="BM394" s="411" t="s">
        <v>206</v>
      </c>
    </row>
    <row r="395" spans="1:65" s="255" customFormat="1" x14ac:dyDescent="0.25">
      <c r="A395" s="425"/>
      <c r="B395" s="289" t="s">
        <v>49</v>
      </c>
      <c r="C395" s="435"/>
      <c r="D395" s="290" t="s">
        <v>49</v>
      </c>
      <c r="E395" s="291">
        <f t="shared" si="125"/>
        <v>18.380000000000003</v>
      </c>
      <c r="F395" s="291"/>
      <c r="G395" s="292">
        <f>SUM(H395:BG395)-M395-Q395-U395</f>
        <v>18.380000000000003</v>
      </c>
      <c r="H395" s="293">
        <v>0.72</v>
      </c>
      <c r="I395" s="293">
        <v>0.59</v>
      </c>
      <c r="J395" s="293"/>
      <c r="K395" s="293">
        <v>0.28999999999999998</v>
      </c>
      <c r="L395" s="293">
        <v>2.0499999999999998</v>
      </c>
      <c r="M395" s="293"/>
      <c r="N395" s="293"/>
      <c r="O395" s="293"/>
      <c r="P395" s="293"/>
      <c r="Q395" s="293"/>
      <c r="R395" s="293"/>
      <c r="S395" s="293"/>
      <c r="T395" s="293"/>
      <c r="U395" s="283">
        <f t="shared" si="126"/>
        <v>13.049999999999999</v>
      </c>
      <c r="V395" s="293">
        <v>11.31</v>
      </c>
      <c r="W395" s="293">
        <v>1.37</v>
      </c>
      <c r="X395" s="293">
        <v>0.37</v>
      </c>
      <c r="Y395" s="293">
        <v>0.02</v>
      </c>
      <c r="Z395" s="293"/>
      <c r="AA395" s="293"/>
      <c r="AB395" s="293"/>
      <c r="AC395" s="293"/>
      <c r="AD395" s="293"/>
      <c r="AE395" s="293"/>
      <c r="AF395" s="293">
        <v>0.1</v>
      </c>
      <c r="AG395" s="293"/>
      <c r="AH395" s="293"/>
      <c r="AI395" s="293"/>
      <c r="AJ395" s="293"/>
      <c r="AK395" s="293"/>
      <c r="AL395" s="293"/>
      <c r="AM395" s="293"/>
      <c r="AN395" s="293"/>
      <c r="AO395" s="293"/>
      <c r="AP395" s="293"/>
      <c r="AQ395" s="293"/>
      <c r="AR395" s="293"/>
      <c r="AS395" s="293"/>
      <c r="AT395" s="293"/>
      <c r="AU395" s="293">
        <v>0.56000000000000005</v>
      </c>
      <c r="AV395" s="293"/>
      <c r="AW395" s="293"/>
      <c r="AX395" s="293"/>
      <c r="AY395" s="293"/>
      <c r="AZ395" s="293"/>
      <c r="BA395" s="293"/>
      <c r="BB395" s="293"/>
      <c r="BC395" s="293"/>
      <c r="BD395" s="293"/>
      <c r="BE395" s="293"/>
      <c r="BF395" s="293"/>
      <c r="BG395" s="293">
        <v>1</v>
      </c>
      <c r="BH395" s="426"/>
      <c r="BI395" s="435"/>
      <c r="BJ395" s="429"/>
      <c r="BK395" s="414"/>
      <c r="BL395" s="434"/>
      <c r="BM395" s="411"/>
    </row>
    <row r="396" spans="1:65" s="255" customFormat="1" x14ac:dyDescent="0.25">
      <c r="A396" s="425"/>
      <c r="B396" s="289" t="s">
        <v>48</v>
      </c>
      <c r="C396" s="435"/>
      <c r="D396" s="290" t="s">
        <v>48</v>
      </c>
      <c r="E396" s="291">
        <f t="shared" si="125"/>
        <v>10.09</v>
      </c>
      <c r="F396" s="291"/>
      <c r="G396" s="292">
        <f>SUM(H396:BG396)-M396-Q396-U396</f>
        <v>10.09</v>
      </c>
      <c r="H396" s="293">
        <v>0.52</v>
      </c>
      <c r="I396" s="293">
        <v>0.48</v>
      </c>
      <c r="J396" s="293"/>
      <c r="K396" s="293">
        <v>0.23</v>
      </c>
      <c r="L396" s="293">
        <v>1.5</v>
      </c>
      <c r="M396" s="293"/>
      <c r="N396" s="293"/>
      <c r="O396" s="293"/>
      <c r="P396" s="293"/>
      <c r="Q396" s="293"/>
      <c r="R396" s="293"/>
      <c r="S396" s="293"/>
      <c r="T396" s="293"/>
      <c r="U396" s="283">
        <f t="shared" si="126"/>
        <v>6.66</v>
      </c>
      <c r="V396" s="293">
        <f>5.14+0.19</f>
        <v>5.33</v>
      </c>
      <c r="W396" s="293">
        <v>1</v>
      </c>
      <c r="X396" s="293">
        <v>0.33</v>
      </c>
      <c r="Y396" s="293">
        <v>0.02</v>
      </c>
      <c r="Z396" s="293"/>
      <c r="AA396" s="293"/>
      <c r="AB396" s="293"/>
      <c r="AC396" s="293"/>
      <c r="AD396" s="293"/>
      <c r="AE396" s="293"/>
      <c r="AF396" s="293">
        <v>0.1</v>
      </c>
      <c r="AG396" s="293"/>
      <c r="AH396" s="293"/>
      <c r="AI396" s="293"/>
      <c r="AJ396" s="293"/>
      <c r="AK396" s="293"/>
      <c r="AL396" s="293"/>
      <c r="AM396" s="293"/>
      <c r="AN396" s="293"/>
      <c r="AO396" s="293"/>
      <c r="AP396" s="293"/>
      <c r="AQ396" s="293"/>
      <c r="AR396" s="293"/>
      <c r="AS396" s="293"/>
      <c r="AT396" s="293"/>
      <c r="AU396" s="293"/>
      <c r="AV396" s="293"/>
      <c r="AW396" s="293"/>
      <c r="AX396" s="293"/>
      <c r="AY396" s="293"/>
      <c r="AZ396" s="293"/>
      <c r="BA396" s="293"/>
      <c r="BB396" s="293"/>
      <c r="BC396" s="293"/>
      <c r="BD396" s="293"/>
      <c r="BE396" s="293"/>
      <c r="BF396" s="293"/>
      <c r="BG396" s="293">
        <f>0.77-0.19</f>
        <v>0.58000000000000007</v>
      </c>
      <c r="BH396" s="426"/>
      <c r="BI396" s="435"/>
      <c r="BJ396" s="429"/>
      <c r="BK396" s="414"/>
      <c r="BL396" s="434"/>
      <c r="BM396" s="411"/>
    </row>
    <row r="397" spans="1:65" s="255" customFormat="1" x14ac:dyDescent="0.25">
      <c r="A397" s="425"/>
      <c r="B397" s="289" t="s">
        <v>34</v>
      </c>
      <c r="C397" s="435"/>
      <c r="D397" s="290" t="s">
        <v>34</v>
      </c>
      <c r="E397" s="291">
        <f t="shared" si="125"/>
        <v>6.0399999999999991</v>
      </c>
      <c r="F397" s="291"/>
      <c r="G397" s="292">
        <f>SUM(H397:BG397)-M397-Q397-U397</f>
        <v>6.0399999999999991</v>
      </c>
      <c r="H397" s="293">
        <v>0.26</v>
      </c>
      <c r="I397" s="293">
        <v>0.37</v>
      </c>
      <c r="J397" s="293"/>
      <c r="K397" s="293">
        <v>0.17</v>
      </c>
      <c r="L397" s="293">
        <v>0.5</v>
      </c>
      <c r="M397" s="293"/>
      <c r="N397" s="293"/>
      <c r="O397" s="293"/>
      <c r="P397" s="293"/>
      <c r="Q397" s="293"/>
      <c r="R397" s="293"/>
      <c r="S397" s="293"/>
      <c r="T397" s="293"/>
      <c r="U397" s="283">
        <f t="shared" si="126"/>
        <v>3.09</v>
      </c>
      <c r="V397" s="293">
        <v>2.29</v>
      </c>
      <c r="W397" s="293">
        <v>0.5</v>
      </c>
      <c r="X397" s="293">
        <v>0.3</v>
      </c>
      <c r="Y397" s="293">
        <v>0.02</v>
      </c>
      <c r="Z397" s="293"/>
      <c r="AA397" s="293"/>
      <c r="AB397" s="293"/>
      <c r="AC397" s="293"/>
      <c r="AD397" s="293"/>
      <c r="AE397" s="293"/>
      <c r="AF397" s="293"/>
      <c r="AG397" s="293"/>
      <c r="AH397" s="293"/>
      <c r="AI397" s="293"/>
      <c r="AJ397" s="293"/>
      <c r="AK397" s="293"/>
      <c r="AL397" s="293"/>
      <c r="AM397" s="293"/>
      <c r="AN397" s="293"/>
      <c r="AO397" s="293"/>
      <c r="AP397" s="293"/>
      <c r="AQ397" s="293"/>
      <c r="AR397" s="293"/>
      <c r="AS397" s="293"/>
      <c r="AT397" s="293"/>
      <c r="AU397" s="293"/>
      <c r="AV397" s="293"/>
      <c r="AW397" s="293"/>
      <c r="AX397" s="293"/>
      <c r="AY397" s="293"/>
      <c r="AZ397" s="293"/>
      <c r="BA397" s="293"/>
      <c r="BB397" s="293"/>
      <c r="BC397" s="293"/>
      <c r="BD397" s="293">
        <v>1.08</v>
      </c>
      <c r="BE397" s="293"/>
      <c r="BF397" s="293"/>
      <c r="BG397" s="293">
        <v>0.55000000000000004</v>
      </c>
      <c r="BH397" s="426"/>
      <c r="BI397" s="435"/>
      <c r="BJ397" s="429"/>
      <c r="BK397" s="414"/>
      <c r="BL397" s="434"/>
      <c r="BM397" s="411"/>
    </row>
    <row r="398" spans="1:65" s="255" customFormat="1" x14ac:dyDescent="0.25">
      <c r="A398" s="425"/>
      <c r="B398" s="289" t="s">
        <v>31</v>
      </c>
      <c r="C398" s="435"/>
      <c r="D398" s="290" t="s">
        <v>31</v>
      </c>
      <c r="E398" s="291">
        <f t="shared" si="125"/>
        <v>5.56</v>
      </c>
      <c r="F398" s="291"/>
      <c r="G398" s="292">
        <f>SUM(H398:BG398)-M398-Q398-U398</f>
        <v>5.56</v>
      </c>
      <c r="H398" s="293">
        <v>0.2</v>
      </c>
      <c r="I398" s="293">
        <v>0.23</v>
      </c>
      <c r="J398" s="293"/>
      <c r="K398" s="293">
        <v>0.14000000000000001</v>
      </c>
      <c r="L398" s="293">
        <v>1</v>
      </c>
      <c r="M398" s="293"/>
      <c r="N398" s="293"/>
      <c r="O398" s="293"/>
      <c r="P398" s="293"/>
      <c r="Q398" s="293"/>
      <c r="R398" s="293"/>
      <c r="S398" s="293"/>
      <c r="T398" s="293"/>
      <c r="U398" s="283">
        <f t="shared" si="126"/>
        <v>1.6500000000000001</v>
      </c>
      <c r="V398" s="293">
        <f>1.72-0.85-0.02</f>
        <v>0.85</v>
      </c>
      <c r="W398" s="293">
        <v>0.5</v>
      </c>
      <c r="X398" s="293">
        <v>0.3</v>
      </c>
      <c r="Y398" s="293">
        <v>0.02</v>
      </c>
      <c r="Z398" s="293"/>
      <c r="AA398" s="293"/>
      <c r="AB398" s="293"/>
      <c r="AC398" s="293"/>
      <c r="AD398" s="293"/>
      <c r="AE398" s="293"/>
      <c r="AF398" s="293"/>
      <c r="AG398" s="293"/>
      <c r="AH398" s="293"/>
      <c r="AI398" s="293"/>
      <c r="AJ398" s="293"/>
      <c r="AK398" s="293"/>
      <c r="AL398" s="293"/>
      <c r="AM398" s="293"/>
      <c r="AN398" s="293"/>
      <c r="AO398" s="293"/>
      <c r="AP398" s="293"/>
      <c r="AQ398" s="293"/>
      <c r="AR398" s="293"/>
      <c r="AS398" s="293"/>
      <c r="AT398" s="293"/>
      <c r="AU398" s="293"/>
      <c r="AV398" s="293"/>
      <c r="AW398" s="293"/>
      <c r="AX398" s="293"/>
      <c r="AY398" s="293"/>
      <c r="AZ398" s="293"/>
      <c r="BA398" s="293"/>
      <c r="BB398" s="293"/>
      <c r="BC398" s="293"/>
      <c r="BD398" s="293">
        <v>1</v>
      </c>
      <c r="BE398" s="293"/>
      <c r="BF398" s="293"/>
      <c r="BG398" s="293">
        <f>0.45+0.85+0.02</f>
        <v>1.32</v>
      </c>
      <c r="BH398" s="426"/>
      <c r="BI398" s="435"/>
      <c r="BJ398" s="429"/>
      <c r="BK398" s="414"/>
      <c r="BL398" s="434"/>
      <c r="BM398" s="411"/>
    </row>
    <row r="399" spans="1:65" s="255" customFormat="1" ht="47.25" x14ac:dyDescent="0.25">
      <c r="A399" s="425">
        <f>A394+1</f>
        <v>248</v>
      </c>
      <c r="B399" s="288" t="s">
        <v>834</v>
      </c>
      <c r="C399" s="425" t="s">
        <v>65</v>
      </c>
      <c r="D399" s="290"/>
      <c r="E399" s="265">
        <f t="shared" si="125"/>
        <v>4.6400000000000006</v>
      </c>
      <c r="F399" s="265"/>
      <c r="G399" s="267">
        <f>SUM(H399:M399,Q399,U399,Y399:BG399)</f>
        <v>4.6400000000000006</v>
      </c>
      <c r="H399" s="293">
        <f>SUM(H400:H406)</f>
        <v>2.9400000000000004</v>
      </c>
      <c r="I399" s="293">
        <f t="shared" ref="I399:BG399" si="128">SUM(I400:I406)</f>
        <v>0.48000000000000004</v>
      </c>
      <c r="J399" s="293">
        <f t="shared" si="128"/>
        <v>0</v>
      </c>
      <c r="K399" s="293">
        <f t="shared" si="128"/>
        <v>0.59</v>
      </c>
      <c r="L399" s="293">
        <f t="shared" si="128"/>
        <v>0.27</v>
      </c>
      <c r="M399" s="293">
        <f t="shared" si="128"/>
        <v>0</v>
      </c>
      <c r="N399" s="293">
        <f t="shared" si="128"/>
        <v>0</v>
      </c>
      <c r="O399" s="293">
        <f t="shared" si="128"/>
        <v>0</v>
      </c>
      <c r="P399" s="293">
        <f t="shared" si="128"/>
        <v>0</v>
      </c>
      <c r="Q399" s="293">
        <f t="shared" si="128"/>
        <v>0</v>
      </c>
      <c r="R399" s="293">
        <f t="shared" si="128"/>
        <v>0</v>
      </c>
      <c r="S399" s="293">
        <f t="shared" si="128"/>
        <v>0</v>
      </c>
      <c r="T399" s="293">
        <f t="shared" si="128"/>
        <v>0</v>
      </c>
      <c r="U399" s="293">
        <f t="shared" si="128"/>
        <v>0</v>
      </c>
      <c r="V399" s="293"/>
      <c r="W399" s="293">
        <f t="shared" si="128"/>
        <v>0</v>
      </c>
      <c r="X399" s="293">
        <f t="shared" si="128"/>
        <v>0</v>
      </c>
      <c r="Y399" s="293">
        <f t="shared" si="128"/>
        <v>0.12</v>
      </c>
      <c r="Z399" s="293">
        <f t="shared" si="128"/>
        <v>0</v>
      </c>
      <c r="AA399" s="293">
        <f t="shared" si="128"/>
        <v>0</v>
      </c>
      <c r="AB399" s="293">
        <f t="shared" si="128"/>
        <v>0</v>
      </c>
      <c r="AC399" s="293">
        <f t="shared" si="128"/>
        <v>0</v>
      </c>
      <c r="AD399" s="293">
        <f t="shared" si="128"/>
        <v>0</v>
      </c>
      <c r="AE399" s="293">
        <f t="shared" si="128"/>
        <v>0</v>
      </c>
      <c r="AF399" s="293">
        <f t="shared" si="128"/>
        <v>0.09</v>
      </c>
      <c r="AG399" s="293">
        <f t="shared" si="128"/>
        <v>0.02</v>
      </c>
      <c r="AH399" s="293">
        <f t="shared" si="128"/>
        <v>0</v>
      </c>
      <c r="AI399" s="293">
        <f t="shared" si="128"/>
        <v>0</v>
      </c>
      <c r="AJ399" s="293">
        <f t="shared" si="128"/>
        <v>0</v>
      </c>
      <c r="AK399" s="293">
        <f t="shared" si="128"/>
        <v>0</v>
      </c>
      <c r="AL399" s="293">
        <f t="shared" si="128"/>
        <v>0</v>
      </c>
      <c r="AM399" s="293">
        <f t="shared" si="128"/>
        <v>0</v>
      </c>
      <c r="AN399" s="293">
        <f t="shared" si="128"/>
        <v>0</v>
      </c>
      <c r="AO399" s="293">
        <f t="shared" si="128"/>
        <v>0</v>
      </c>
      <c r="AP399" s="293">
        <f t="shared" si="128"/>
        <v>0</v>
      </c>
      <c r="AQ399" s="293">
        <f t="shared" si="128"/>
        <v>0</v>
      </c>
      <c r="AR399" s="293">
        <f t="shared" si="128"/>
        <v>0</v>
      </c>
      <c r="AS399" s="293">
        <f t="shared" si="128"/>
        <v>0</v>
      </c>
      <c r="AT399" s="293">
        <f t="shared" si="128"/>
        <v>0</v>
      </c>
      <c r="AU399" s="293">
        <f t="shared" si="128"/>
        <v>0.13</v>
      </c>
      <c r="AV399" s="293">
        <f t="shared" si="128"/>
        <v>0</v>
      </c>
      <c r="AW399" s="293">
        <f t="shared" si="128"/>
        <v>0</v>
      </c>
      <c r="AX399" s="293">
        <f t="shared" si="128"/>
        <v>0</v>
      </c>
      <c r="AY399" s="293">
        <f t="shared" si="128"/>
        <v>0</v>
      </c>
      <c r="AZ399" s="293">
        <f t="shared" si="128"/>
        <v>0</v>
      </c>
      <c r="BA399" s="293">
        <f t="shared" si="128"/>
        <v>0</v>
      </c>
      <c r="BB399" s="293">
        <f t="shared" si="128"/>
        <v>0</v>
      </c>
      <c r="BC399" s="293">
        <f t="shared" si="128"/>
        <v>0</v>
      </c>
      <c r="BD399" s="293">
        <f t="shared" si="128"/>
        <v>0</v>
      </c>
      <c r="BE399" s="293">
        <f t="shared" si="128"/>
        <v>0</v>
      </c>
      <c r="BF399" s="293">
        <f t="shared" si="128"/>
        <v>0</v>
      </c>
      <c r="BG399" s="293">
        <f t="shared" si="128"/>
        <v>0</v>
      </c>
      <c r="BH399" s="413" t="s">
        <v>835</v>
      </c>
      <c r="BI399" s="425" t="s">
        <v>65</v>
      </c>
      <c r="BJ399" s="425" t="s">
        <v>836</v>
      </c>
      <c r="BK399" s="414" t="s">
        <v>120</v>
      </c>
      <c r="BL399" s="434" t="s">
        <v>361</v>
      </c>
      <c r="BM399" s="411" t="s">
        <v>206</v>
      </c>
    </row>
    <row r="400" spans="1:65" s="255" customFormat="1" ht="18" customHeight="1" x14ac:dyDescent="0.25">
      <c r="A400" s="425"/>
      <c r="B400" s="285" t="s">
        <v>837</v>
      </c>
      <c r="C400" s="425"/>
      <c r="D400" s="264" t="s">
        <v>31</v>
      </c>
      <c r="E400" s="291">
        <f t="shared" si="125"/>
        <v>0.53</v>
      </c>
      <c r="F400" s="291"/>
      <c r="G400" s="292">
        <f t="shared" ref="G400:G406" si="129">SUM(H400:BG400)-M400-Q400-U400</f>
        <v>0.53</v>
      </c>
      <c r="H400" s="293">
        <v>0.28000000000000003</v>
      </c>
      <c r="I400" s="293"/>
      <c r="J400" s="293"/>
      <c r="K400" s="293">
        <v>0.14000000000000001</v>
      </c>
      <c r="L400" s="293"/>
      <c r="M400" s="293"/>
      <c r="N400" s="293"/>
      <c r="O400" s="293"/>
      <c r="P400" s="293"/>
      <c r="Q400" s="293"/>
      <c r="R400" s="293"/>
      <c r="S400" s="293"/>
      <c r="T400" s="293"/>
      <c r="U400" s="293">
        <f>SUM(V400:X400)</f>
        <v>0</v>
      </c>
      <c r="V400" s="293"/>
      <c r="W400" s="293"/>
      <c r="X400" s="293"/>
      <c r="Y400" s="293">
        <v>0.08</v>
      </c>
      <c r="Z400" s="293"/>
      <c r="AA400" s="293"/>
      <c r="AB400" s="293"/>
      <c r="AC400" s="293"/>
      <c r="AD400" s="293"/>
      <c r="AE400" s="293"/>
      <c r="AF400" s="293">
        <v>0.01</v>
      </c>
      <c r="AG400" s="293"/>
      <c r="AH400" s="293"/>
      <c r="AI400" s="293"/>
      <c r="AJ400" s="293"/>
      <c r="AK400" s="293"/>
      <c r="AL400" s="293"/>
      <c r="AM400" s="293"/>
      <c r="AN400" s="293"/>
      <c r="AO400" s="293"/>
      <c r="AP400" s="293"/>
      <c r="AQ400" s="293"/>
      <c r="AR400" s="293"/>
      <c r="AS400" s="293"/>
      <c r="AT400" s="293"/>
      <c r="AU400" s="293">
        <v>0.02</v>
      </c>
      <c r="AV400" s="293"/>
      <c r="AW400" s="293"/>
      <c r="AX400" s="293"/>
      <c r="AY400" s="293"/>
      <c r="AZ400" s="293"/>
      <c r="BA400" s="293"/>
      <c r="BB400" s="293"/>
      <c r="BC400" s="293"/>
      <c r="BD400" s="293"/>
      <c r="BE400" s="293"/>
      <c r="BF400" s="293"/>
      <c r="BG400" s="293"/>
      <c r="BH400" s="413"/>
      <c r="BI400" s="425"/>
      <c r="BJ400" s="425"/>
      <c r="BK400" s="414"/>
      <c r="BL400" s="434"/>
      <c r="BM400" s="411"/>
    </row>
    <row r="401" spans="1:65" s="255" customFormat="1" ht="18" customHeight="1" x14ac:dyDescent="0.25">
      <c r="A401" s="425"/>
      <c r="B401" s="285" t="s">
        <v>838</v>
      </c>
      <c r="C401" s="425"/>
      <c r="D401" s="264" t="s">
        <v>44</v>
      </c>
      <c r="E401" s="291">
        <f t="shared" si="125"/>
        <v>0.8</v>
      </c>
      <c r="F401" s="291"/>
      <c r="G401" s="292">
        <f t="shared" si="129"/>
        <v>0.8</v>
      </c>
      <c r="H401" s="293">
        <v>0.67</v>
      </c>
      <c r="I401" s="293"/>
      <c r="J401" s="293"/>
      <c r="K401" s="293">
        <v>0.06</v>
      </c>
      <c r="L401" s="293"/>
      <c r="M401" s="293"/>
      <c r="N401" s="293"/>
      <c r="O401" s="293"/>
      <c r="P401" s="293"/>
      <c r="Q401" s="293"/>
      <c r="R401" s="293"/>
      <c r="S401" s="293"/>
      <c r="T401" s="293"/>
      <c r="U401" s="293">
        <f t="shared" ref="U401:U407" si="130">SUM(V401:X401)</f>
        <v>0</v>
      </c>
      <c r="V401" s="293"/>
      <c r="W401" s="293"/>
      <c r="X401" s="293"/>
      <c r="Y401" s="293"/>
      <c r="Z401" s="293"/>
      <c r="AA401" s="293"/>
      <c r="AB401" s="293"/>
      <c r="AC401" s="293"/>
      <c r="AD401" s="293"/>
      <c r="AE401" s="293"/>
      <c r="AF401" s="293">
        <v>0.04</v>
      </c>
      <c r="AG401" s="293"/>
      <c r="AH401" s="293"/>
      <c r="AI401" s="293"/>
      <c r="AJ401" s="293"/>
      <c r="AK401" s="293"/>
      <c r="AL401" s="293"/>
      <c r="AM401" s="293"/>
      <c r="AN401" s="293"/>
      <c r="AO401" s="293"/>
      <c r="AP401" s="293"/>
      <c r="AQ401" s="293"/>
      <c r="AR401" s="293"/>
      <c r="AS401" s="293"/>
      <c r="AT401" s="293"/>
      <c r="AU401" s="293">
        <v>0.03</v>
      </c>
      <c r="AV401" s="293"/>
      <c r="AW401" s="293"/>
      <c r="AX401" s="293"/>
      <c r="AY401" s="293"/>
      <c r="AZ401" s="293"/>
      <c r="BA401" s="293"/>
      <c r="BB401" s="293"/>
      <c r="BC401" s="293"/>
      <c r="BD401" s="293"/>
      <c r="BE401" s="293"/>
      <c r="BF401" s="293"/>
      <c r="BG401" s="293"/>
      <c r="BH401" s="413"/>
      <c r="BI401" s="425"/>
      <c r="BJ401" s="425"/>
      <c r="BK401" s="414"/>
      <c r="BL401" s="434"/>
      <c r="BM401" s="411"/>
    </row>
    <row r="402" spans="1:65" s="255" customFormat="1" ht="18" customHeight="1" x14ac:dyDescent="0.25">
      <c r="A402" s="425"/>
      <c r="B402" s="285" t="s">
        <v>839</v>
      </c>
      <c r="C402" s="425"/>
      <c r="D402" s="264" t="s">
        <v>54</v>
      </c>
      <c r="E402" s="291">
        <f t="shared" si="125"/>
        <v>7.0000000000000007E-2</v>
      </c>
      <c r="F402" s="291"/>
      <c r="G402" s="292">
        <f t="shared" si="129"/>
        <v>7.0000000000000007E-2</v>
      </c>
      <c r="H402" s="293"/>
      <c r="I402" s="293">
        <v>0.04</v>
      </c>
      <c r="J402" s="293"/>
      <c r="K402" s="293"/>
      <c r="L402" s="293">
        <v>0.03</v>
      </c>
      <c r="M402" s="293"/>
      <c r="N402" s="293"/>
      <c r="O402" s="293"/>
      <c r="P402" s="293"/>
      <c r="Q402" s="293"/>
      <c r="R402" s="293"/>
      <c r="S402" s="293"/>
      <c r="T402" s="293"/>
      <c r="U402" s="293">
        <f t="shared" si="130"/>
        <v>0</v>
      </c>
      <c r="V402" s="293"/>
      <c r="W402" s="293"/>
      <c r="X402" s="293"/>
      <c r="Y402" s="293"/>
      <c r="Z402" s="293"/>
      <c r="AA402" s="293"/>
      <c r="AB402" s="293"/>
      <c r="AC402" s="293"/>
      <c r="AD402" s="293"/>
      <c r="AE402" s="293"/>
      <c r="AF402" s="293"/>
      <c r="AG402" s="293"/>
      <c r="AH402" s="293"/>
      <c r="AI402" s="293"/>
      <c r="AJ402" s="293"/>
      <c r="AK402" s="293"/>
      <c r="AL402" s="293"/>
      <c r="AM402" s="293"/>
      <c r="AN402" s="293"/>
      <c r="AO402" s="293"/>
      <c r="AP402" s="293"/>
      <c r="AQ402" s="293"/>
      <c r="AR402" s="293"/>
      <c r="AS402" s="293"/>
      <c r="AT402" s="293"/>
      <c r="AU402" s="293"/>
      <c r="AV402" s="293"/>
      <c r="AW402" s="293"/>
      <c r="AX402" s="293"/>
      <c r="AY402" s="293"/>
      <c r="AZ402" s="293"/>
      <c r="BA402" s="293"/>
      <c r="BB402" s="293"/>
      <c r="BC402" s="293"/>
      <c r="BD402" s="293"/>
      <c r="BE402" s="293"/>
      <c r="BF402" s="293"/>
      <c r="BG402" s="293"/>
      <c r="BH402" s="413"/>
      <c r="BI402" s="425"/>
      <c r="BJ402" s="425"/>
      <c r="BK402" s="414"/>
      <c r="BL402" s="434"/>
      <c r="BM402" s="411"/>
    </row>
    <row r="403" spans="1:65" s="255" customFormat="1" ht="18" customHeight="1" x14ac:dyDescent="0.25">
      <c r="A403" s="425"/>
      <c r="B403" s="285" t="s">
        <v>816</v>
      </c>
      <c r="C403" s="425"/>
      <c r="D403" s="264" t="s">
        <v>49</v>
      </c>
      <c r="E403" s="291">
        <f t="shared" si="125"/>
        <v>1.3</v>
      </c>
      <c r="F403" s="291"/>
      <c r="G403" s="292">
        <f t="shared" si="129"/>
        <v>1.3</v>
      </c>
      <c r="H403" s="293">
        <v>1</v>
      </c>
      <c r="I403" s="293">
        <v>0.05</v>
      </c>
      <c r="J403" s="293"/>
      <c r="K403" s="293">
        <v>0.18</v>
      </c>
      <c r="L403" s="293"/>
      <c r="M403" s="293"/>
      <c r="N403" s="293"/>
      <c r="O403" s="293"/>
      <c r="P403" s="293"/>
      <c r="Q403" s="293"/>
      <c r="R403" s="293"/>
      <c r="S403" s="293"/>
      <c r="T403" s="293"/>
      <c r="U403" s="293">
        <f t="shared" si="130"/>
        <v>0</v>
      </c>
      <c r="V403" s="293"/>
      <c r="W403" s="293"/>
      <c r="X403" s="293"/>
      <c r="Y403" s="293">
        <v>0.01</v>
      </c>
      <c r="Z403" s="293"/>
      <c r="AA403" s="293"/>
      <c r="AB403" s="293"/>
      <c r="AC403" s="293"/>
      <c r="AD403" s="293"/>
      <c r="AE403" s="293"/>
      <c r="AF403" s="293"/>
      <c r="AG403" s="293">
        <v>0.02</v>
      </c>
      <c r="AH403" s="293"/>
      <c r="AI403" s="293"/>
      <c r="AJ403" s="293"/>
      <c r="AK403" s="293"/>
      <c r="AL403" s="293"/>
      <c r="AM403" s="293"/>
      <c r="AN403" s="293"/>
      <c r="AO403" s="293"/>
      <c r="AP403" s="293"/>
      <c r="AQ403" s="293"/>
      <c r="AR403" s="293"/>
      <c r="AS403" s="293"/>
      <c r="AT403" s="293"/>
      <c r="AU403" s="293">
        <v>0.04</v>
      </c>
      <c r="AV403" s="293"/>
      <c r="AW403" s="293"/>
      <c r="AX403" s="293"/>
      <c r="AY403" s="293"/>
      <c r="AZ403" s="293"/>
      <c r="BA403" s="293"/>
      <c r="BB403" s="293"/>
      <c r="BC403" s="293"/>
      <c r="BD403" s="293"/>
      <c r="BE403" s="293"/>
      <c r="BF403" s="293"/>
      <c r="BG403" s="293"/>
      <c r="BH403" s="413"/>
      <c r="BI403" s="425"/>
      <c r="BJ403" s="425"/>
      <c r="BK403" s="414"/>
      <c r="BL403" s="434"/>
      <c r="BM403" s="411"/>
    </row>
    <row r="404" spans="1:65" s="255" customFormat="1" ht="18" customHeight="1" x14ac:dyDescent="0.25">
      <c r="A404" s="425"/>
      <c r="B404" s="285" t="s">
        <v>225</v>
      </c>
      <c r="C404" s="425"/>
      <c r="D404" s="264" t="s">
        <v>34</v>
      </c>
      <c r="E404" s="291">
        <f t="shared" si="125"/>
        <v>1.61</v>
      </c>
      <c r="F404" s="291"/>
      <c r="G404" s="292">
        <f>SUM(H404:BG404)-M404-Q404-U404</f>
        <v>1.61</v>
      </c>
      <c r="H404" s="293">
        <v>0.89</v>
      </c>
      <c r="I404" s="293">
        <v>0.33</v>
      </c>
      <c r="J404" s="293"/>
      <c r="K404" s="293">
        <v>0.21</v>
      </c>
      <c r="L404" s="293">
        <v>0.11</v>
      </c>
      <c r="M404" s="293"/>
      <c r="N404" s="293"/>
      <c r="O404" s="293"/>
      <c r="P404" s="293"/>
      <c r="Q404" s="293"/>
      <c r="R404" s="293"/>
      <c r="S404" s="293"/>
      <c r="T404" s="293"/>
      <c r="U404" s="287">
        <f>SUM(V404:X404)</f>
        <v>0</v>
      </c>
      <c r="V404" s="293"/>
      <c r="W404" s="293"/>
      <c r="X404" s="293"/>
      <c r="Y404" s="293"/>
      <c r="Z404" s="293"/>
      <c r="AA404" s="293"/>
      <c r="AB404" s="293"/>
      <c r="AC404" s="293"/>
      <c r="AD404" s="293"/>
      <c r="AE404" s="293"/>
      <c r="AF404" s="293">
        <v>0.04</v>
      </c>
      <c r="AG404" s="293"/>
      <c r="AH404" s="293"/>
      <c r="AI404" s="293"/>
      <c r="AJ404" s="293"/>
      <c r="AK404" s="293"/>
      <c r="AL404" s="293"/>
      <c r="AM404" s="293"/>
      <c r="AN404" s="293"/>
      <c r="AO404" s="293"/>
      <c r="AP404" s="293"/>
      <c r="AQ404" s="293"/>
      <c r="AR404" s="293"/>
      <c r="AS404" s="293"/>
      <c r="AT404" s="293"/>
      <c r="AU404" s="293">
        <v>0.03</v>
      </c>
      <c r="AV404" s="293"/>
      <c r="AW404" s="293"/>
      <c r="AX404" s="293"/>
      <c r="AY404" s="293"/>
      <c r="AZ404" s="293"/>
      <c r="BA404" s="293"/>
      <c r="BB404" s="293"/>
      <c r="BC404" s="293"/>
      <c r="BD404" s="293"/>
      <c r="BE404" s="293"/>
      <c r="BF404" s="293"/>
      <c r="BG404" s="293"/>
      <c r="BH404" s="413"/>
      <c r="BI404" s="425"/>
      <c r="BJ404" s="425"/>
      <c r="BK404" s="414"/>
      <c r="BL404" s="434"/>
      <c r="BM404" s="411"/>
    </row>
    <row r="405" spans="1:65" s="255" customFormat="1" ht="18" customHeight="1" x14ac:dyDescent="0.25">
      <c r="A405" s="425"/>
      <c r="B405" s="285" t="s">
        <v>229</v>
      </c>
      <c r="C405" s="425"/>
      <c r="D405" s="264" t="s">
        <v>55</v>
      </c>
      <c r="E405" s="291">
        <f t="shared" si="125"/>
        <v>0.25</v>
      </c>
      <c r="F405" s="291"/>
      <c r="G405" s="292">
        <f t="shared" si="129"/>
        <v>0.25</v>
      </c>
      <c r="H405" s="293">
        <v>0.1</v>
      </c>
      <c r="I405" s="293">
        <v>0.06</v>
      </c>
      <c r="J405" s="293"/>
      <c r="K405" s="293"/>
      <c r="L405" s="293">
        <v>0.06</v>
      </c>
      <c r="M405" s="293"/>
      <c r="N405" s="293"/>
      <c r="O405" s="293"/>
      <c r="P405" s="293"/>
      <c r="Q405" s="293"/>
      <c r="R405" s="293"/>
      <c r="S405" s="293"/>
      <c r="T405" s="293"/>
      <c r="U405" s="293">
        <f t="shared" si="130"/>
        <v>0</v>
      </c>
      <c r="V405" s="293"/>
      <c r="W405" s="293"/>
      <c r="X405" s="293"/>
      <c r="Y405" s="293">
        <v>0.03</v>
      </c>
      <c r="Z405" s="293"/>
      <c r="AA405" s="293"/>
      <c r="AB405" s="293"/>
      <c r="AC405" s="293"/>
      <c r="AD405" s="293"/>
      <c r="AE405" s="293"/>
      <c r="AF405" s="293"/>
      <c r="AG405" s="293"/>
      <c r="AH405" s="293"/>
      <c r="AI405" s="293"/>
      <c r="AJ405" s="293"/>
      <c r="AK405" s="293"/>
      <c r="AL405" s="293"/>
      <c r="AM405" s="293"/>
      <c r="AN405" s="293"/>
      <c r="AO405" s="293"/>
      <c r="AP405" s="293"/>
      <c r="AQ405" s="293"/>
      <c r="AR405" s="293"/>
      <c r="AS405" s="293"/>
      <c r="AT405" s="293"/>
      <c r="AU405" s="293"/>
      <c r="AV405" s="293"/>
      <c r="AW405" s="293"/>
      <c r="AX405" s="293"/>
      <c r="AY405" s="293"/>
      <c r="AZ405" s="293"/>
      <c r="BA405" s="293"/>
      <c r="BB405" s="293"/>
      <c r="BC405" s="293"/>
      <c r="BD405" s="293"/>
      <c r="BE405" s="293"/>
      <c r="BF405" s="293"/>
      <c r="BG405" s="293"/>
      <c r="BH405" s="413"/>
      <c r="BI405" s="425"/>
      <c r="BJ405" s="425"/>
      <c r="BK405" s="414"/>
      <c r="BL405" s="434"/>
      <c r="BM405" s="411"/>
    </row>
    <row r="406" spans="1:65" s="255" customFormat="1" ht="18" customHeight="1" x14ac:dyDescent="0.25">
      <c r="A406" s="425"/>
      <c r="B406" s="285" t="s">
        <v>840</v>
      </c>
      <c r="C406" s="425"/>
      <c r="D406" s="264" t="s">
        <v>228</v>
      </c>
      <c r="E406" s="291">
        <f t="shared" si="125"/>
        <v>0.08</v>
      </c>
      <c r="F406" s="291"/>
      <c r="G406" s="292">
        <f t="shared" si="129"/>
        <v>0.08</v>
      </c>
      <c r="H406" s="293"/>
      <c r="I406" s="293"/>
      <c r="J406" s="293"/>
      <c r="K406" s="293"/>
      <c r="L406" s="293">
        <v>7.0000000000000007E-2</v>
      </c>
      <c r="M406" s="293"/>
      <c r="N406" s="293"/>
      <c r="O406" s="293"/>
      <c r="P406" s="293"/>
      <c r="Q406" s="293"/>
      <c r="R406" s="293"/>
      <c r="S406" s="293"/>
      <c r="T406" s="293"/>
      <c r="U406" s="293">
        <f t="shared" si="130"/>
        <v>0</v>
      </c>
      <c r="V406" s="293"/>
      <c r="W406" s="293"/>
      <c r="X406" s="293"/>
      <c r="Y406" s="293"/>
      <c r="Z406" s="293"/>
      <c r="AA406" s="293"/>
      <c r="AB406" s="293"/>
      <c r="AC406" s="293"/>
      <c r="AD406" s="293"/>
      <c r="AE406" s="293"/>
      <c r="AF406" s="293"/>
      <c r="AG406" s="293"/>
      <c r="AH406" s="293"/>
      <c r="AI406" s="293"/>
      <c r="AJ406" s="293"/>
      <c r="AK406" s="293"/>
      <c r="AL406" s="293"/>
      <c r="AM406" s="293"/>
      <c r="AN406" s="293"/>
      <c r="AO406" s="293"/>
      <c r="AP406" s="293"/>
      <c r="AQ406" s="293"/>
      <c r="AR406" s="293"/>
      <c r="AS406" s="293"/>
      <c r="AT406" s="293"/>
      <c r="AU406" s="293">
        <v>0.01</v>
      </c>
      <c r="AV406" s="293"/>
      <c r="AW406" s="293"/>
      <c r="AX406" s="293"/>
      <c r="AY406" s="293"/>
      <c r="AZ406" s="293"/>
      <c r="BA406" s="293"/>
      <c r="BB406" s="293"/>
      <c r="BC406" s="293"/>
      <c r="BD406" s="293"/>
      <c r="BE406" s="293"/>
      <c r="BF406" s="293"/>
      <c r="BG406" s="293"/>
      <c r="BH406" s="413"/>
      <c r="BI406" s="425"/>
      <c r="BJ406" s="425"/>
      <c r="BK406" s="414"/>
      <c r="BL406" s="434"/>
      <c r="BM406" s="411"/>
    </row>
    <row r="407" spans="1:65" s="252" customFormat="1" ht="31.5" x14ac:dyDescent="0.25">
      <c r="A407" s="425">
        <f>A399+1</f>
        <v>249</v>
      </c>
      <c r="B407" s="280" t="s">
        <v>841</v>
      </c>
      <c r="C407" s="413" t="s">
        <v>71</v>
      </c>
      <c r="D407" s="264"/>
      <c r="E407" s="281">
        <f t="shared" si="125"/>
        <v>10.370000000000001</v>
      </c>
      <c r="F407" s="294"/>
      <c r="G407" s="267">
        <f>SUM(H407:M407,Q407,U407,Y407:BG407)</f>
        <v>10.370000000000001</v>
      </c>
      <c r="H407" s="287">
        <v>3.51</v>
      </c>
      <c r="I407" s="287"/>
      <c r="J407" s="287"/>
      <c r="K407" s="287">
        <v>1</v>
      </c>
      <c r="L407" s="287">
        <v>1.46</v>
      </c>
      <c r="M407" s="287"/>
      <c r="N407" s="287"/>
      <c r="O407" s="287"/>
      <c r="P407" s="287"/>
      <c r="Q407" s="287"/>
      <c r="R407" s="287"/>
      <c r="S407" s="287"/>
      <c r="T407" s="287"/>
      <c r="U407" s="283">
        <f t="shared" si="130"/>
        <v>1.1000000000000001</v>
      </c>
      <c r="V407" s="287"/>
      <c r="W407" s="287">
        <v>1.1000000000000001</v>
      </c>
      <c r="X407" s="287"/>
      <c r="Y407" s="287">
        <v>0.62</v>
      </c>
      <c r="Z407" s="287"/>
      <c r="AA407" s="287"/>
      <c r="AB407" s="287"/>
      <c r="AC407" s="287"/>
      <c r="AD407" s="287"/>
      <c r="AE407" s="287"/>
      <c r="AF407" s="287">
        <v>1</v>
      </c>
      <c r="AG407" s="287">
        <v>0.38</v>
      </c>
      <c r="AH407" s="287"/>
      <c r="AI407" s="287"/>
      <c r="AJ407" s="287"/>
      <c r="AK407" s="287">
        <v>0.03</v>
      </c>
      <c r="AL407" s="287"/>
      <c r="AM407" s="287"/>
      <c r="AN407" s="287"/>
      <c r="AO407" s="287"/>
      <c r="AP407" s="287"/>
      <c r="AQ407" s="287"/>
      <c r="AR407" s="287"/>
      <c r="AS407" s="287"/>
      <c r="AT407" s="287">
        <v>0.2</v>
      </c>
      <c r="AU407" s="287"/>
      <c r="AV407" s="287"/>
      <c r="AW407" s="287"/>
      <c r="AX407" s="287"/>
      <c r="AY407" s="287"/>
      <c r="AZ407" s="287"/>
      <c r="BA407" s="287"/>
      <c r="BB407" s="287"/>
      <c r="BC407" s="287"/>
      <c r="BD407" s="287">
        <v>0.05</v>
      </c>
      <c r="BE407" s="287"/>
      <c r="BF407" s="287">
        <v>0.02</v>
      </c>
      <c r="BG407" s="287">
        <v>1</v>
      </c>
      <c r="BH407" s="426" t="s">
        <v>76</v>
      </c>
      <c r="BI407" s="413" t="s">
        <v>71</v>
      </c>
      <c r="BJ407" s="413" t="s">
        <v>1095</v>
      </c>
      <c r="BK407" s="432" t="s">
        <v>120</v>
      </c>
      <c r="BL407" s="415" t="s">
        <v>175</v>
      </c>
      <c r="BM407" s="430" t="s">
        <v>1026</v>
      </c>
    </row>
    <row r="408" spans="1:65" s="255" customFormat="1" ht="18.75" customHeight="1" x14ac:dyDescent="0.25">
      <c r="A408" s="425"/>
      <c r="B408" s="289" t="s">
        <v>48</v>
      </c>
      <c r="C408" s="413"/>
      <c r="D408" s="290" t="s">
        <v>48</v>
      </c>
      <c r="E408" s="291">
        <f t="shared" si="125"/>
        <v>5.7099999999999991</v>
      </c>
      <c r="F408" s="291"/>
      <c r="G408" s="295">
        <f>SUM(H408:BG408)-M408-Q408-U408</f>
        <v>5.7099999999999991</v>
      </c>
      <c r="H408" s="296">
        <v>1.83</v>
      </c>
      <c r="I408" s="296">
        <v>0</v>
      </c>
      <c r="J408" s="296">
        <v>0</v>
      </c>
      <c r="K408" s="296">
        <v>0.55000000000000004</v>
      </c>
      <c r="L408" s="296">
        <v>0.79999999999999993</v>
      </c>
      <c r="M408" s="296">
        <v>0</v>
      </c>
      <c r="N408" s="296">
        <v>0</v>
      </c>
      <c r="O408" s="296">
        <v>0</v>
      </c>
      <c r="P408" s="296">
        <v>0</v>
      </c>
      <c r="Q408" s="296">
        <v>0</v>
      </c>
      <c r="R408" s="296">
        <v>0</v>
      </c>
      <c r="S408" s="296">
        <v>0</v>
      </c>
      <c r="T408" s="296">
        <v>0</v>
      </c>
      <c r="U408" s="293">
        <v>0.6100000000000001</v>
      </c>
      <c r="V408" s="296">
        <v>0</v>
      </c>
      <c r="W408" s="296">
        <v>0.61</v>
      </c>
      <c r="X408" s="296">
        <v>0</v>
      </c>
      <c r="Y408" s="296">
        <v>0.33999999999999997</v>
      </c>
      <c r="Z408" s="296">
        <v>0</v>
      </c>
      <c r="AA408" s="296">
        <v>0</v>
      </c>
      <c r="AB408" s="296">
        <v>0</v>
      </c>
      <c r="AC408" s="296">
        <v>0</v>
      </c>
      <c r="AD408" s="296">
        <v>0</v>
      </c>
      <c r="AE408" s="296">
        <v>0</v>
      </c>
      <c r="AF408" s="296">
        <v>0.55000000000000004</v>
      </c>
      <c r="AG408" s="296">
        <v>0.21</v>
      </c>
      <c r="AH408" s="296">
        <v>0</v>
      </c>
      <c r="AI408" s="296">
        <v>0</v>
      </c>
      <c r="AJ408" s="296">
        <v>0</v>
      </c>
      <c r="AK408" s="296">
        <v>0.02</v>
      </c>
      <c r="AL408" s="296">
        <v>0</v>
      </c>
      <c r="AM408" s="296">
        <v>0</v>
      </c>
      <c r="AN408" s="296">
        <v>0</v>
      </c>
      <c r="AO408" s="296">
        <v>0</v>
      </c>
      <c r="AP408" s="296">
        <v>0</v>
      </c>
      <c r="AQ408" s="296">
        <v>0</v>
      </c>
      <c r="AR408" s="296">
        <v>0</v>
      </c>
      <c r="AS408" s="296">
        <v>0</v>
      </c>
      <c r="AT408" s="296">
        <v>0.2</v>
      </c>
      <c r="AU408" s="296">
        <v>0</v>
      </c>
      <c r="AV408" s="296">
        <v>0</v>
      </c>
      <c r="AW408" s="296">
        <v>0</v>
      </c>
      <c r="AX408" s="296">
        <v>0</v>
      </c>
      <c r="AY408" s="296">
        <v>0</v>
      </c>
      <c r="AZ408" s="296">
        <v>0</v>
      </c>
      <c r="BA408" s="296">
        <v>0</v>
      </c>
      <c r="BB408" s="296">
        <v>0</v>
      </c>
      <c r="BC408" s="296">
        <v>0</v>
      </c>
      <c r="BD408" s="296">
        <v>3.0000000000000006E-2</v>
      </c>
      <c r="BE408" s="296">
        <v>0</v>
      </c>
      <c r="BF408" s="296">
        <v>0.02</v>
      </c>
      <c r="BG408" s="296">
        <v>0.55000000000000004</v>
      </c>
      <c r="BH408" s="426"/>
      <c r="BI408" s="413"/>
      <c r="BJ408" s="413"/>
      <c r="BK408" s="432"/>
      <c r="BL408" s="415"/>
      <c r="BM408" s="430"/>
    </row>
    <row r="409" spans="1:65" s="255" customFormat="1" ht="18.75" customHeight="1" x14ac:dyDescent="0.25">
      <c r="A409" s="425"/>
      <c r="B409" s="289" t="s">
        <v>34</v>
      </c>
      <c r="C409" s="413"/>
      <c r="D409" s="290" t="s">
        <v>34</v>
      </c>
      <c r="E409" s="291">
        <f t="shared" si="125"/>
        <v>4.66</v>
      </c>
      <c r="F409" s="291"/>
      <c r="G409" s="292">
        <f>SUM(H409:BG409)-M409-Q409-U409</f>
        <v>4.66</v>
      </c>
      <c r="H409" s="296">
        <v>1.6799999999999997</v>
      </c>
      <c r="I409" s="296">
        <v>0</v>
      </c>
      <c r="J409" s="296">
        <v>0</v>
      </c>
      <c r="K409" s="296">
        <v>0.44999999999999996</v>
      </c>
      <c r="L409" s="296">
        <v>0.66</v>
      </c>
      <c r="M409" s="296">
        <v>0</v>
      </c>
      <c r="N409" s="296">
        <v>0</v>
      </c>
      <c r="O409" s="296">
        <v>0</v>
      </c>
      <c r="P409" s="296">
        <v>0</v>
      </c>
      <c r="Q409" s="296">
        <v>0</v>
      </c>
      <c r="R409" s="296">
        <v>0</v>
      </c>
      <c r="S409" s="296">
        <v>0</v>
      </c>
      <c r="T409" s="296">
        <v>0</v>
      </c>
      <c r="U409" s="296">
        <v>0.49</v>
      </c>
      <c r="V409" s="296">
        <v>0</v>
      </c>
      <c r="W409" s="296">
        <v>0.49</v>
      </c>
      <c r="X409" s="296">
        <v>0</v>
      </c>
      <c r="Y409" s="296">
        <v>0.28000000000000003</v>
      </c>
      <c r="Z409" s="296">
        <v>0</v>
      </c>
      <c r="AA409" s="296">
        <v>0</v>
      </c>
      <c r="AB409" s="296">
        <v>0</v>
      </c>
      <c r="AC409" s="296">
        <v>0</v>
      </c>
      <c r="AD409" s="296">
        <v>0</v>
      </c>
      <c r="AE409" s="296">
        <v>0</v>
      </c>
      <c r="AF409" s="296">
        <v>0.44999999999999996</v>
      </c>
      <c r="AG409" s="296">
        <v>0.17</v>
      </c>
      <c r="AH409" s="296">
        <v>0</v>
      </c>
      <c r="AI409" s="296">
        <v>0</v>
      </c>
      <c r="AJ409" s="296">
        <v>0</v>
      </c>
      <c r="AK409" s="296">
        <v>9.9999999999999985E-3</v>
      </c>
      <c r="AL409" s="296">
        <v>0</v>
      </c>
      <c r="AM409" s="296">
        <v>0</v>
      </c>
      <c r="AN409" s="296">
        <v>0</v>
      </c>
      <c r="AO409" s="296">
        <v>0</v>
      </c>
      <c r="AP409" s="296">
        <v>0</v>
      </c>
      <c r="AQ409" s="296">
        <v>0</v>
      </c>
      <c r="AR409" s="296">
        <v>0</v>
      </c>
      <c r="AS409" s="296">
        <v>0</v>
      </c>
      <c r="AT409" s="296">
        <v>0</v>
      </c>
      <c r="AU409" s="296">
        <v>0</v>
      </c>
      <c r="AV409" s="296">
        <v>0</v>
      </c>
      <c r="AW409" s="296">
        <v>0</v>
      </c>
      <c r="AX409" s="296">
        <v>0</v>
      </c>
      <c r="AY409" s="296">
        <v>0</v>
      </c>
      <c r="AZ409" s="296">
        <v>0</v>
      </c>
      <c r="BA409" s="296">
        <v>0</v>
      </c>
      <c r="BB409" s="296">
        <v>0</v>
      </c>
      <c r="BC409" s="296">
        <v>0</v>
      </c>
      <c r="BD409" s="296">
        <v>1.9999999999999997E-2</v>
      </c>
      <c r="BE409" s="296">
        <v>0</v>
      </c>
      <c r="BF409" s="296"/>
      <c r="BG409" s="296">
        <v>0.44999999999999996</v>
      </c>
      <c r="BH409" s="426"/>
      <c r="BI409" s="413"/>
      <c r="BJ409" s="413"/>
      <c r="BK409" s="432"/>
      <c r="BL409" s="415"/>
      <c r="BM409" s="430"/>
    </row>
    <row r="410" spans="1:65" s="252" customFormat="1" ht="31.5" x14ac:dyDescent="0.25">
      <c r="A410" s="425">
        <f>A407+1</f>
        <v>250</v>
      </c>
      <c r="B410" s="297" t="s">
        <v>842</v>
      </c>
      <c r="C410" s="413" t="s">
        <v>71</v>
      </c>
      <c r="D410" s="264"/>
      <c r="E410" s="291">
        <f t="shared" ref="E410" si="131">F410+G410</f>
        <v>7.5519999999999996</v>
      </c>
      <c r="F410" s="294"/>
      <c r="G410" s="267">
        <f>SUM(H410:M410,Q410,U410,Y410:BG410)</f>
        <v>7.5519999999999996</v>
      </c>
      <c r="H410" s="287">
        <v>2</v>
      </c>
      <c r="I410" s="287"/>
      <c r="J410" s="287"/>
      <c r="K410" s="287">
        <v>1.53</v>
      </c>
      <c r="L410" s="287">
        <v>1</v>
      </c>
      <c r="M410" s="287"/>
      <c r="N410" s="287"/>
      <c r="O410" s="287"/>
      <c r="P410" s="287"/>
      <c r="Q410" s="287"/>
      <c r="R410" s="287"/>
      <c r="S410" s="287"/>
      <c r="T410" s="287"/>
      <c r="U410" s="286">
        <f t="shared" ref="U410" si="132">SUM(V410:X410)</f>
        <v>1.1320000000000001</v>
      </c>
      <c r="V410" s="296">
        <v>0.13200000000000001</v>
      </c>
      <c r="W410" s="287">
        <v>1</v>
      </c>
      <c r="X410" s="287"/>
      <c r="Y410" s="287">
        <v>0.5</v>
      </c>
      <c r="Z410" s="287"/>
      <c r="AA410" s="287"/>
      <c r="AB410" s="287"/>
      <c r="AC410" s="287"/>
      <c r="AD410" s="287"/>
      <c r="AE410" s="287"/>
      <c r="AF410" s="287">
        <v>0.25</v>
      </c>
      <c r="AG410" s="287">
        <v>0.1</v>
      </c>
      <c r="AH410" s="287"/>
      <c r="AI410" s="287"/>
      <c r="AJ410" s="287"/>
      <c r="AK410" s="287">
        <v>0.02</v>
      </c>
      <c r="AL410" s="287"/>
      <c r="AM410" s="287"/>
      <c r="AN410" s="287"/>
      <c r="AO410" s="287"/>
      <c r="AP410" s="287"/>
      <c r="AQ410" s="287"/>
      <c r="AR410" s="287"/>
      <c r="AS410" s="287"/>
      <c r="AT410" s="287">
        <v>0.7</v>
      </c>
      <c r="AU410" s="287"/>
      <c r="AV410" s="287"/>
      <c r="AW410" s="287"/>
      <c r="AX410" s="287"/>
      <c r="AY410" s="287"/>
      <c r="AZ410" s="287"/>
      <c r="BA410" s="287"/>
      <c r="BB410" s="287"/>
      <c r="BC410" s="287"/>
      <c r="BD410" s="287">
        <v>0.05</v>
      </c>
      <c r="BE410" s="287"/>
      <c r="BF410" s="287">
        <v>0.02</v>
      </c>
      <c r="BG410" s="287">
        <v>0.25</v>
      </c>
      <c r="BH410" s="426" t="s">
        <v>76</v>
      </c>
      <c r="BI410" s="413" t="s">
        <v>71</v>
      </c>
      <c r="BJ410" s="413" t="s">
        <v>1096</v>
      </c>
      <c r="BK410" s="427" t="s">
        <v>120</v>
      </c>
      <c r="BL410" s="415" t="s">
        <v>175</v>
      </c>
      <c r="BM410" s="430" t="s">
        <v>1026</v>
      </c>
    </row>
    <row r="411" spans="1:65" s="255" customFormat="1" ht="17.25" customHeight="1" x14ac:dyDescent="0.25">
      <c r="A411" s="425"/>
      <c r="B411" s="289" t="s">
        <v>48</v>
      </c>
      <c r="C411" s="413"/>
      <c r="D411" s="290" t="s">
        <v>48</v>
      </c>
      <c r="E411" s="291">
        <f t="shared" si="125"/>
        <v>4.79</v>
      </c>
      <c r="F411" s="291"/>
      <c r="G411" s="295">
        <f>SUM(H411:BG411)-M411-Q411-U411</f>
        <v>4.79</v>
      </c>
      <c r="H411" s="296">
        <v>1.4499999999999997</v>
      </c>
      <c r="I411" s="296">
        <v>0</v>
      </c>
      <c r="J411" s="296">
        <v>0</v>
      </c>
      <c r="K411" s="296">
        <v>0.84000000000000008</v>
      </c>
      <c r="L411" s="296">
        <v>0.55000000000000004</v>
      </c>
      <c r="M411" s="296">
        <v>0</v>
      </c>
      <c r="N411" s="296">
        <v>0</v>
      </c>
      <c r="O411" s="296">
        <v>0</v>
      </c>
      <c r="P411" s="296">
        <v>0</v>
      </c>
      <c r="Q411" s="296">
        <v>0</v>
      </c>
      <c r="R411" s="296">
        <v>0</v>
      </c>
      <c r="S411" s="296">
        <v>0</v>
      </c>
      <c r="T411" s="296">
        <v>0</v>
      </c>
      <c r="U411" s="286">
        <v>0.62</v>
      </c>
      <c r="V411" s="296">
        <v>7.0000000000000007E-2</v>
      </c>
      <c r="W411" s="296">
        <v>0.55000000000000004</v>
      </c>
      <c r="X411" s="296">
        <v>0</v>
      </c>
      <c r="Y411" s="296">
        <v>0.28000000000000003</v>
      </c>
      <c r="Z411" s="296">
        <v>0</v>
      </c>
      <c r="AA411" s="296">
        <v>0</v>
      </c>
      <c r="AB411" s="296">
        <v>0</v>
      </c>
      <c r="AC411" s="296">
        <v>0</v>
      </c>
      <c r="AD411" s="296">
        <v>0</v>
      </c>
      <c r="AE411" s="296">
        <v>0</v>
      </c>
      <c r="AF411" s="296">
        <v>0.12</v>
      </c>
      <c r="AG411" s="296">
        <v>0.05</v>
      </c>
      <c r="AH411" s="296">
        <v>0</v>
      </c>
      <c r="AI411" s="296">
        <v>0</v>
      </c>
      <c r="AJ411" s="296">
        <v>0</v>
      </c>
      <c r="AK411" s="296">
        <v>0.01</v>
      </c>
      <c r="AL411" s="296">
        <v>0</v>
      </c>
      <c r="AM411" s="296">
        <v>0</v>
      </c>
      <c r="AN411" s="296">
        <v>0</v>
      </c>
      <c r="AO411" s="296">
        <v>0</v>
      </c>
      <c r="AP411" s="296">
        <v>0</v>
      </c>
      <c r="AQ411" s="296">
        <v>0</v>
      </c>
      <c r="AR411" s="296">
        <v>0</v>
      </c>
      <c r="AS411" s="296">
        <v>0</v>
      </c>
      <c r="AT411" s="296">
        <v>0.7</v>
      </c>
      <c r="AU411" s="296">
        <v>0</v>
      </c>
      <c r="AV411" s="296">
        <v>0</v>
      </c>
      <c r="AW411" s="296">
        <v>0</v>
      </c>
      <c r="AX411" s="296">
        <v>0</v>
      </c>
      <c r="AY411" s="296">
        <v>0</v>
      </c>
      <c r="AZ411" s="296">
        <v>0</v>
      </c>
      <c r="BA411" s="296">
        <v>0</v>
      </c>
      <c r="BB411" s="296">
        <v>0</v>
      </c>
      <c r="BC411" s="296">
        <v>0</v>
      </c>
      <c r="BD411" s="296">
        <v>3.0000000000000006E-2</v>
      </c>
      <c r="BE411" s="296">
        <v>0</v>
      </c>
      <c r="BF411" s="296">
        <v>0.02</v>
      </c>
      <c r="BG411" s="296">
        <v>0.12</v>
      </c>
      <c r="BH411" s="426"/>
      <c r="BI411" s="413"/>
      <c r="BJ411" s="413"/>
      <c r="BK411" s="427"/>
      <c r="BL411" s="415"/>
      <c r="BM411" s="430"/>
    </row>
    <row r="412" spans="1:65" s="255" customFormat="1" ht="17.25" customHeight="1" x14ac:dyDescent="0.25">
      <c r="A412" s="425"/>
      <c r="B412" s="289" t="s">
        <v>34</v>
      </c>
      <c r="C412" s="413"/>
      <c r="D412" s="290" t="s">
        <v>34</v>
      </c>
      <c r="E412" s="291">
        <f t="shared" si="125"/>
        <v>2.7619999999999996</v>
      </c>
      <c r="F412" s="291"/>
      <c r="G412" s="292">
        <f>SUM(H412:BG412)-M412-Q412-U412</f>
        <v>2.7619999999999996</v>
      </c>
      <c r="H412" s="296">
        <f>H410-H411</f>
        <v>0.55000000000000027</v>
      </c>
      <c r="I412" s="296">
        <f t="shared" ref="I412:BG412" si="133">I410-I411</f>
        <v>0</v>
      </c>
      <c r="J412" s="296">
        <f t="shared" si="133"/>
        <v>0</v>
      </c>
      <c r="K412" s="296">
        <f t="shared" si="133"/>
        <v>0.69</v>
      </c>
      <c r="L412" s="296">
        <f t="shared" si="133"/>
        <v>0.44999999999999996</v>
      </c>
      <c r="M412" s="296">
        <f t="shared" si="133"/>
        <v>0</v>
      </c>
      <c r="N412" s="296">
        <f t="shared" si="133"/>
        <v>0</v>
      </c>
      <c r="O412" s="296">
        <f t="shared" si="133"/>
        <v>0</v>
      </c>
      <c r="P412" s="296">
        <f t="shared" si="133"/>
        <v>0</v>
      </c>
      <c r="Q412" s="296">
        <f t="shared" si="133"/>
        <v>0</v>
      </c>
      <c r="R412" s="296">
        <f t="shared" si="133"/>
        <v>0</v>
      </c>
      <c r="S412" s="296">
        <f t="shared" si="133"/>
        <v>0</v>
      </c>
      <c r="T412" s="296">
        <f t="shared" si="133"/>
        <v>0</v>
      </c>
      <c r="U412" s="296">
        <f t="shared" si="133"/>
        <v>0.51200000000000012</v>
      </c>
      <c r="V412" s="296">
        <f t="shared" si="133"/>
        <v>6.2E-2</v>
      </c>
      <c r="W412" s="296">
        <f t="shared" si="133"/>
        <v>0.44999999999999996</v>
      </c>
      <c r="X412" s="296">
        <f t="shared" si="133"/>
        <v>0</v>
      </c>
      <c r="Y412" s="296">
        <f t="shared" si="133"/>
        <v>0.21999999999999997</v>
      </c>
      <c r="Z412" s="296">
        <f t="shared" si="133"/>
        <v>0</v>
      </c>
      <c r="AA412" s="296">
        <f t="shared" si="133"/>
        <v>0</v>
      </c>
      <c r="AB412" s="296">
        <f t="shared" si="133"/>
        <v>0</v>
      </c>
      <c r="AC412" s="296">
        <f t="shared" si="133"/>
        <v>0</v>
      </c>
      <c r="AD412" s="296">
        <f t="shared" si="133"/>
        <v>0</v>
      </c>
      <c r="AE412" s="296">
        <f t="shared" si="133"/>
        <v>0</v>
      </c>
      <c r="AF412" s="296">
        <f t="shared" si="133"/>
        <v>0.13</v>
      </c>
      <c r="AG412" s="296">
        <f t="shared" si="133"/>
        <v>0.05</v>
      </c>
      <c r="AH412" s="296">
        <f t="shared" si="133"/>
        <v>0</v>
      </c>
      <c r="AI412" s="296">
        <f t="shared" si="133"/>
        <v>0</v>
      </c>
      <c r="AJ412" s="296">
        <f t="shared" si="133"/>
        <v>0</v>
      </c>
      <c r="AK412" s="296">
        <f t="shared" si="133"/>
        <v>0.01</v>
      </c>
      <c r="AL412" s="296">
        <f t="shared" si="133"/>
        <v>0</v>
      </c>
      <c r="AM412" s="296">
        <f t="shared" si="133"/>
        <v>0</v>
      </c>
      <c r="AN412" s="296">
        <f t="shared" si="133"/>
        <v>0</v>
      </c>
      <c r="AO412" s="296">
        <f t="shared" si="133"/>
        <v>0</v>
      </c>
      <c r="AP412" s="296">
        <f t="shared" si="133"/>
        <v>0</v>
      </c>
      <c r="AQ412" s="296">
        <f t="shared" si="133"/>
        <v>0</v>
      </c>
      <c r="AR412" s="296">
        <f t="shared" si="133"/>
        <v>0</v>
      </c>
      <c r="AS412" s="296">
        <f t="shared" si="133"/>
        <v>0</v>
      </c>
      <c r="AT412" s="296">
        <f t="shared" si="133"/>
        <v>0</v>
      </c>
      <c r="AU412" s="296">
        <f t="shared" si="133"/>
        <v>0</v>
      </c>
      <c r="AV412" s="296">
        <f t="shared" si="133"/>
        <v>0</v>
      </c>
      <c r="AW412" s="296">
        <f t="shared" si="133"/>
        <v>0</v>
      </c>
      <c r="AX412" s="296">
        <f t="shared" si="133"/>
        <v>0</v>
      </c>
      <c r="AY412" s="296">
        <f t="shared" si="133"/>
        <v>0</v>
      </c>
      <c r="AZ412" s="296">
        <f t="shared" si="133"/>
        <v>0</v>
      </c>
      <c r="BA412" s="296">
        <f t="shared" si="133"/>
        <v>0</v>
      </c>
      <c r="BB412" s="296">
        <f t="shared" si="133"/>
        <v>0</v>
      </c>
      <c r="BC412" s="296">
        <f t="shared" si="133"/>
        <v>0</v>
      </c>
      <c r="BD412" s="296">
        <f t="shared" si="133"/>
        <v>1.9999999999999997E-2</v>
      </c>
      <c r="BE412" s="296">
        <f t="shared" si="133"/>
        <v>0</v>
      </c>
      <c r="BF412" s="296"/>
      <c r="BG412" s="296">
        <f t="shared" si="133"/>
        <v>0.13</v>
      </c>
      <c r="BH412" s="426"/>
      <c r="BI412" s="413"/>
      <c r="BJ412" s="413"/>
      <c r="BK412" s="427"/>
      <c r="BL412" s="415"/>
      <c r="BM412" s="430"/>
    </row>
    <row r="413" spans="1:65" s="255" customFormat="1" ht="16.5" x14ac:dyDescent="0.25">
      <c r="A413" s="433">
        <f>A410+1</f>
        <v>251</v>
      </c>
      <c r="B413" s="285" t="s">
        <v>843</v>
      </c>
      <c r="C413" s="413" t="s">
        <v>71</v>
      </c>
      <c r="D413" s="290"/>
      <c r="E413" s="281">
        <f t="shared" si="125"/>
        <v>6</v>
      </c>
      <c r="F413" s="281"/>
      <c r="G413" s="282">
        <f>SUM(H413:BG413)-M413-Q413-U413</f>
        <v>6</v>
      </c>
      <c r="H413" s="296">
        <v>0.26</v>
      </c>
      <c r="I413" s="296"/>
      <c r="J413" s="296"/>
      <c r="K413" s="296"/>
      <c r="L413" s="296"/>
      <c r="M413" s="296"/>
      <c r="N413" s="296"/>
      <c r="O413" s="296"/>
      <c r="P413" s="296"/>
      <c r="Q413" s="296"/>
      <c r="R413" s="296"/>
      <c r="S413" s="296"/>
      <c r="T413" s="296"/>
      <c r="U413" s="286">
        <f t="shared" ref="U413" si="134">SUM(V413:X413)</f>
        <v>5.67</v>
      </c>
      <c r="V413" s="296">
        <f>6-1.55</f>
        <v>4.45</v>
      </c>
      <c r="W413" s="298">
        <v>1.22</v>
      </c>
      <c r="X413" s="296"/>
      <c r="Y413" s="296"/>
      <c r="Z413" s="296"/>
      <c r="AA413" s="296"/>
      <c r="AB413" s="296"/>
      <c r="AC413" s="296"/>
      <c r="AD413" s="296"/>
      <c r="AE413" s="296"/>
      <c r="AF413" s="296">
        <v>7.0000000000000007E-2</v>
      </c>
      <c r="AG413" s="296"/>
      <c r="AH413" s="296"/>
      <c r="AI413" s="296"/>
      <c r="AJ413" s="296"/>
      <c r="AK413" s="296"/>
      <c r="AL413" s="296"/>
      <c r="AM413" s="296"/>
      <c r="AN413" s="296"/>
      <c r="AO413" s="296"/>
      <c r="AP413" s="296"/>
      <c r="AQ413" s="296"/>
      <c r="AR413" s="296"/>
      <c r="AS413" s="296"/>
      <c r="AT413" s="296"/>
      <c r="AU413" s="296"/>
      <c r="AV413" s="296"/>
      <c r="AW413" s="296"/>
      <c r="AX413" s="296"/>
      <c r="AY413" s="296"/>
      <c r="AZ413" s="296"/>
      <c r="BA413" s="296"/>
      <c r="BB413" s="296"/>
      <c r="BC413" s="296"/>
      <c r="BD413" s="296"/>
      <c r="BE413" s="296"/>
      <c r="BF413" s="296"/>
      <c r="BG413" s="296"/>
      <c r="BH413" s="426" t="s">
        <v>76</v>
      </c>
      <c r="BI413" s="413" t="s">
        <v>71</v>
      </c>
      <c r="BJ413" s="413" t="s">
        <v>844</v>
      </c>
      <c r="BK413" s="427" t="s">
        <v>398</v>
      </c>
      <c r="BL413" s="411" t="s">
        <v>361</v>
      </c>
      <c r="BM413" s="430" t="s">
        <v>1026</v>
      </c>
    </row>
    <row r="414" spans="1:65" s="255" customFormat="1" ht="18.75" customHeight="1" x14ac:dyDescent="0.25">
      <c r="A414" s="433"/>
      <c r="B414" s="289" t="s">
        <v>48</v>
      </c>
      <c r="C414" s="413"/>
      <c r="D414" s="290" t="s">
        <v>48</v>
      </c>
      <c r="E414" s="291">
        <f t="shared" si="125"/>
        <v>2.399999999999999</v>
      </c>
      <c r="F414" s="291"/>
      <c r="G414" s="295">
        <f>SUM(H414:BG414)-M414-Q414-U414</f>
        <v>2.399999999999999</v>
      </c>
      <c r="H414" s="296">
        <v>0.16</v>
      </c>
      <c r="I414" s="296"/>
      <c r="J414" s="296"/>
      <c r="K414" s="296"/>
      <c r="L414" s="296"/>
      <c r="M414" s="296"/>
      <c r="N414" s="296"/>
      <c r="O414" s="296"/>
      <c r="P414" s="296"/>
      <c r="Q414" s="296"/>
      <c r="R414" s="296"/>
      <c r="S414" s="296"/>
      <c r="T414" s="296"/>
      <c r="U414" s="286">
        <f t="shared" ref="U414:U416" si="135">SUM(V414:X414)</f>
        <v>2.23</v>
      </c>
      <c r="V414" s="296">
        <v>1.63</v>
      </c>
      <c r="W414" s="298">
        <v>0.6</v>
      </c>
      <c r="X414" s="296"/>
      <c r="Y414" s="296"/>
      <c r="Z414" s="296"/>
      <c r="AA414" s="296"/>
      <c r="AB414" s="296"/>
      <c r="AC414" s="296"/>
      <c r="AD414" s="296"/>
      <c r="AE414" s="296"/>
      <c r="AF414" s="296">
        <v>0.01</v>
      </c>
      <c r="AG414" s="296"/>
      <c r="AH414" s="296"/>
      <c r="AI414" s="296"/>
      <c r="AJ414" s="296"/>
      <c r="AK414" s="296"/>
      <c r="AL414" s="296"/>
      <c r="AM414" s="296"/>
      <c r="AN414" s="296"/>
      <c r="AO414" s="296"/>
      <c r="AP414" s="296"/>
      <c r="AQ414" s="296"/>
      <c r="AR414" s="296"/>
      <c r="AS414" s="296"/>
      <c r="AT414" s="296"/>
      <c r="AU414" s="296"/>
      <c r="AV414" s="296"/>
      <c r="AW414" s="296"/>
      <c r="AX414" s="296"/>
      <c r="AY414" s="296"/>
      <c r="AZ414" s="296"/>
      <c r="BA414" s="296"/>
      <c r="BB414" s="296"/>
      <c r="BC414" s="296"/>
      <c r="BD414" s="296"/>
      <c r="BE414" s="296"/>
      <c r="BF414" s="296"/>
      <c r="BG414" s="296"/>
      <c r="BH414" s="426"/>
      <c r="BI414" s="413"/>
      <c r="BJ414" s="413"/>
      <c r="BK414" s="427"/>
      <c r="BL414" s="411"/>
      <c r="BM414" s="430"/>
    </row>
    <row r="415" spans="1:65" s="255" customFormat="1" ht="18.75" customHeight="1" x14ac:dyDescent="0.25">
      <c r="A415" s="433"/>
      <c r="B415" s="289" t="s">
        <v>34</v>
      </c>
      <c r="C415" s="413"/>
      <c r="D415" s="290" t="s">
        <v>34</v>
      </c>
      <c r="E415" s="291">
        <f t="shared" si="125"/>
        <v>1.5</v>
      </c>
      <c r="F415" s="291"/>
      <c r="G415" s="295">
        <f>SUM(H415:BG415)-M415-Q415-U415</f>
        <v>1.5</v>
      </c>
      <c r="H415" s="296">
        <v>0.1</v>
      </c>
      <c r="I415" s="296"/>
      <c r="J415" s="296"/>
      <c r="K415" s="296"/>
      <c r="L415" s="296"/>
      <c r="M415" s="296"/>
      <c r="N415" s="296"/>
      <c r="O415" s="296"/>
      <c r="P415" s="296"/>
      <c r="Q415" s="296"/>
      <c r="R415" s="296"/>
      <c r="S415" s="296"/>
      <c r="T415" s="296"/>
      <c r="U415" s="286">
        <f t="shared" si="135"/>
        <v>1.3399999999999999</v>
      </c>
      <c r="V415" s="296">
        <v>0.94</v>
      </c>
      <c r="W415" s="298">
        <v>0.4</v>
      </c>
      <c r="X415" s="296"/>
      <c r="Y415" s="296"/>
      <c r="Z415" s="296"/>
      <c r="AA415" s="296"/>
      <c r="AB415" s="296"/>
      <c r="AC415" s="296"/>
      <c r="AD415" s="296"/>
      <c r="AE415" s="296"/>
      <c r="AF415" s="296">
        <v>0.06</v>
      </c>
      <c r="AG415" s="296"/>
      <c r="AH415" s="296"/>
      <c r="AI415" s="296"/>
      <c r="AJ415" s="296"/>
      <c r="AK415" s="296"/>
      <c r="AL415" s="296"/>
      <c r="AM415" s="296"/>
      <c r="AN415" s="296"/>
      <c r="AO415" s="296"/>
      <c r="AP415" s="296"/>
      <c r="AQ415" s="296"/>
      <c r="AR415" s="296"/>
      <c r="AS415" s="296"/>
      <c r="AT415" s="296"/>
      <c r="AU415" s="296"/>
      <c r="AV415" s="296"/>
      <c r="AW415" s="296"/>
      <c r="AX415" s="296"/>
      <c r="AY415" s="296"/>
      <c r="AZ415" s="296"/>
      <c r="BA415" s="296"/>
      <c r="BB415" s="296"/>
      <c r="BC415" s="296"/>
      <c r="BD415" s="296"/>
      <c r="BE415" s="296"/>
      <c r="BF415" s="296"/>
      <c r="BG415" s="296"/>
      <c r="BH415" s="426"/>
      <c r="BI415" s="413"/>
      <c r="BJ415" s="413"/>
      <c r="BK415" s="427"/>
      <c r="BL415" s="411"/>
      <c r="BM415" s="430"/>
    </row>
    <row r="416" spans="1:65" s="255" customFormat="1" ht="18.75" customHeight="1" x14ac:dyDescent="0.25">
      <c r="A416" s="433"/>
      <c r="B416" s="285" t="s">
        <v>229</v>
      </c>
      <c r="C416" s="413"/>
      <c r="D416" s="296"/>
      <c r="E416" s="296">
        <f>E413-E414-E415</f>
        <v>2.100000000000001</v>
      </c>
      <c r="F416" s="296"/>
      <c r="G416" s="296">
        <f>G413-G414-G415</f>
        <v>2.100000000000001</v>
      </c>
      <c r="H416" s="296">
        <v>0</v>
      </c>
      <c r="I416" s="296">
        <v>0</v>
      </c>
      <c r="J416" s="296">
        <v>0</v>
      </c>
      <c r="K416" s="296">
        <v>0</v>
      </c>
      <c r="L416" s="296">
        <v>0</v>
      </c>
      <c r="M416" s="296">
        <v>0</v>
      </c>
      <c r="N416" s="296">
        <v>0</v>
      </c>
      <c r="O416" s="296">
        <v>0</v>
      </c>
      <c r="P416" s="296">
        <v>0</v>
      </c>
      <c r="Q416" s="296">
        <v>0</v>
      </c>
      <c r="R416" s="296">
        <v>0</v>
      </c>
      <c r="S416" s="296">
        <v>0</v>
      </c>
      <c r="T416" s="296">
        <v>0</v>
      </c>
      <c r="U416" s="286">
        <f t="shared" si="135"/>
        <v>2.1</v>
      </c>
      <c r="V416" s="296">
        <v>1.88</v>
      </c>
      <c r="W416" s="296">
        <v>0.22</v>
      </c>
      <c r="X416" s="296">
        <v>0</v>
      </c>
      <c r="Y416" s="296">
        <v>0</v>
      </c>
      <c r="Z416" s="296">
        <v>0</v>
      </c>
      <c r="AA416" s="296">
        <v>0</v>
      </c>
      <c r="AB416" s="296">
        <v>0</v>
      </c>
      <c r="AC416" s="296">
        <v>0</v>
      </c>
      <c r="AD416" s="296">
        <v>0</v>
      </c>
      <c r="AE416" s="296">
        <v>0</v>
      </c>
      <c r="AF416" s="296">
        <v>0</v>
      </c>
      <c r="AG416" s="296">
        <v>0</v>
      </c>
      <c r="AH416" s="296">
        <v>0</v>
      </c>
      <c r="AI416" s="296">
        <v>0</v>
      </c>
      <c r="AJ416" s="296">
        <v>0</v>
      </c>
      <c r="AK416" s="296">
        <v>0</v>
      </c>
      <c r="AL416" s="296">
        <v>0</v>
      </c>
      <c r="AM416" s="296">
        <v>0</v>
      </c>
      <c r="AN416" s="296">
        <v>0</v>
      </c>
      <c r="AO416" s="296">
        <v>0</v>
      </c>
      <c r="AP416" s="296">
        <v>0</v>
      </c>
      <c r="AQ416" s="296">
        <v>0</v>
      </c>
      <c r="AR416" s="296">
        <v>0</v>
      </c>
      <c r="AS416" s="296">
        <v>0</v>
      </c>
      <c r="AT416" s="296">
        <v>0</v>
      </c>
      <c r="AU416" s="296">
        <v>0</v>
      </c>
      <c r="AV416" s="296">
        <v>0</v>
      </c>
      <c r="AW416" s="296">
        <v>0</v>
      </c>
      <c r="AX416" s="296">
        <v>0</v>
      </c>
      <c r="AY416" s="296">
        <v>0</v>
      </c>
      <c r="AZ416" s="296">
        <v>0</v>
      </c>
      <c r="BA416" s="296">
        <v>0</v>
      </c>
      <c r="BB416" s="296">
        <v>0</v>
      </c>
      <c r="BC416" s="296">
        <v>0</v>
      </c>
      <c r="BD416" s="296">
        <v>0</v>
      </c>
      <c r="BE416" s="296">
        <v>0</v>
      </c>
      <c r="BF416" s="296">
        <v>0</v>
      </c>
      <c r="BG416" s="296">
        <v>0</v>
      </c>
      <c r="BH416" s="426"/>
      <c r="BI416" s="413"/>
      <c r="BJ416" s="413"/>
      <c r="BK416" s="427"/>
      <c r="BL416" s="411"/>
      <c r="BM416" s="430"/>
    </row>
    <row r="417" spans="1:243" s="252" customFormat="1" ht="31.5" x14ac:dyDescent="0.25">
      <c r="A417" s="422">
        <f>A413+1</f>
        <v>252</v>
      </c>
      <c r="B417" s="280" t="s">
        <v>845</v>
      </c>
      <c r="C417" s="413" t="s">
        <v>82</v>
      </c>
      <c r="D417" s="264"/>
      <c r="E417" s="265">
        <f t="shared" si="125"/>
        <v>5.2</v>
      </c>
      <c r="F417" s="267"/>
      <c r="G417" s="267">
        <f>SUM(H417:M417,Q417,U417,Y417:BG417)</f>
        <v>5.2</v>
      </c>
      <c r="H417" s="283">
        <v>0.64</v>
      </c>
      <c r="I417" s="284"/>
      <c r="J417" s="283"/>
      <c r="K417" s="283"/>
      <c r="L417" s="284"/>
      <c r="M417" s="283"/>
      <c r="N417" s="283"/>
      <c r="O417" s="283"/>
      <c r="P417" s="283"/>
      <c r="Q417" s="283"/>
      <c r="R417" s="283"/>
      <c r="S417" s="283"/>
      <c r="T417" s="283"/>
      <c r="U417" s="283">
        <f t="shared" ref="U417:U424" si="136">SUM(V417:X417)</f>
        <v>4.5600000000000005</v>
      </c>
      <c r="V417" s="284">
        <f>5.2-0.64</f>
        <v>4.5600000000000005</v>
      </c>
      <c r="W417" s="283"/>
      <c r="X417" s="283"/>
      <c r="Y417" s="283"/>
      <c r="Z417" s="283"/>
      <c r="AA417" s="283"/>
      <c r="AB417" s="283"/>
      <c r="AC417" s="283"/>
      <c r="AD417" s="283"/>
      <c r="AE417" s="283"/>
      <c r="AF417" s="283"/>
      <c r="AG417" s="283"/>
      <c r="AH417" s="283"/>
      <c r="AI417" s="283"/>
      <c r="AJ417" s="283"/>
      <c r="AK417" s="283"/>
      <c r="AL417" s="283"/>
      <c r="AM417" s="283"/>
      <c r="AN417" s="283"/>
      <c r="AO417" s="283"/>
      <c r="AP417" s="283"/>
      <c r="AQ417" s="283"/>
      <c r="AR417" s="283"/>
      <c r="AS417" s="283"/>
      <c r="AT417" s="283"/>
      <c r="AU417" s="283"/>
      <c r="AV417" s="283"/>
      <c r="AW417" s="283"/>
      <c r="AX417" s="283"/>
      <c r="AY417" s="283"/>
      <c r="AZ417" s="283"/>
      <c r="BA417" s="283"/>
      <c r="BB417" s="283"/>
      <c r="BC417" s="283"/>
      <c r="BD417" s="283"/>
      <c r="BE417" s="283"/>
      <c r="BF417" s="283"/>
      <c r="BG417" s="283"/>
      <c r="BH417" s="413" t="s">
        <v>703</v>
      </c>
      <c r="BI417" s="413" t="s">
        <v>82</v>
      </c>
      <c r="BJ417" s="413" t="s">
        <v>846</v>
      </c>
      <c r="BK417" s="414" t="s">
        <v>398</v>
      </c>
      <c r="BL417" s="411" t="s">
        <v>361</v>
      </c>
      <c r="BM417" s="430" t="s">
        <v>1026</v>
      </c>
    </row>
    <row r="418" spans="1:243" s="255" customFormat="1" ht="18" customHeight="1" x14ac:dyDescent="0.25">
      <c r="A418" s="422"/>
      <c r="B418" s="289" t="s">
        <v>48</v>
      </c>
      <c r="C418" s="413"/>
      <c r="D418" s="290" t="s">
        <v>48</v>
      </c>
      <c r="E418" s="291">
        <f t="shared" si="125"/>
        <v>2.08</v>
      </c>
      <c r="F418" s="291"/>
      <c r="G418" s="292">
        <f>SUM(H418:BG418)-M418-Q418-U418</f>
        <v>2.08</v>
      </c>
      <c r="H418" s="293">
        <v>0.34</v>
      </c>
      <c r="I418" s="293"/>
      <c r="J418" s="293"/>
      <c r="K418" s="293"/>
      <c r="L418" s="293"/>
      <c r="M418" s="293"/>
      <c r="N418" s="293"/>
      <c r="O418" s="293"/>
      <c r="P418" s="293"/>
      <c r="Q418" s="293"/>
      <c r="R418" s="293"/>
      <c r="S418" s="293"/>
      <c r="T418" s="293"/>
      <c r="U418" s="283">
        <f t="shared" si="136"/>
        <v>1.74</v>
      </c>
      <c r="V418" s="293">
        <v>1.74</v>
      </c>
      <c r="W418" s="293"/>
      <c r="X418" s="293"/>
      <c r="Y418" s="293"/>
      <c r="Z418" s="293"/>
      <c r="AA418" s="293"/>
      <c r="AB418" s="293"/>
      <c r="AC418" s="293"/>
      <c r="AD418" s="293"/>
      <c r="AE418" s="293"/>
      <c r="AF418" s="293"/>
      <c r="AG418" s="293"/>
      <c r="AH418" s="293"/>
      <c r="AI418" s="293"/>
      <c r="AJ418" s="293"/>
      <c r="AK418" s="293"/>
      <c r="AL418" s="293"/>
      <c r="AM418" s="293"/>
      <c r="AN418" s="293"/>
      <c r="AO418" s="293"/>
      <c r="AP418" s="293"/>
      <c r="AQ418" s="293"/>
      <c r="AR418" s="293"/>
      <c r="AS418" s="293"/>
      <c r="AT418" s="293"/>
      <c r="AU418" s="293"/>
      <c r="AV418" s="293"/>
      <c r="AW418" s="293"/>
      <c r="AX418" s="293"/>
      <c r="AY418" s="293"/>
      <c r="AZ418" s="293"/>
      <c r="BA418" s="293"/>
      <c r="BB418" s="293"/>
      <c r="BC418" s="293"/>
      <c r="BD418" s="293"/>
      <c r="BE418" s="293"/>
      <c r="BF418" s="293"/>
      <c r="BG418" s="293"/>
      <c r="BH418" s="413"/>
      <c r="BI418" s="413"/>
      <c r="BJ418" s="413"/>
      <c r="BK418" s="414"/>
      <c r="BL418" s="411"/>
      <c r="BM418" s="430"/>
    </row>
    <row r="419" spans="1:243" s="255" customFormat="1" ht="18" customHeight="1" x14ac:dyDescent="0.25">
      <c r="A419" s="422"/>
      <c r="B419" s="289" t="s">
        <v>34</v>
      </c>
      <c r="C419" s="413"/>
      <c r="D419" s="290" t="s">
        <v>34</v>
      </c>
      <c r="E419" s="291">
        <f t="shared" si="125"/>
        <v>1.5600000000000003</v>
      </c>
      <c r="F419" s="291"/>
      <c r="G419" s="292">
        <f>SUM(H419:BG419)-M419-Q419-U419</f>
        <v>1.5600000000000003</v>
      </c>
      <c r="H419" s="293">
        <v>0.18</v>
      </c>
      <c r="I419" s="293"/>
      <c r="J419" s="293"/>
      <c r="K419" s="293"/>
      <c r="L419" s="293"/>
      <c r="M419" s="293"/>
      <c r="N419" s="293"/>
      <c r="O419" s="293"/>
      <c r="P419" s="293"/>
      <c r="Q419" s="293"/>
      <c r="R419" s="293"/>
      <c r="S419" s="293"/>
      <c r="T419" s="293"/>
      <c r="U419" s="286">
        <f t="shared" si="136"/>
        <v>1.3800000000000001</v>
      </c>
      <c r="V419" s="293">
        <v>1.3800000000000001</v>
      </c>
      <c r="W419" s="293"/>
      <c r="X419" s="293"/>
      <c r="Y419" s="293"/>
      <c r="Z419" s="293"/>
      <c r="AA419" s="293"/>
      <c r="AB419" s="293"/>
      <c r="AC419" s="293"/>
      <c r="AD419" s="293"/>
      <c r="AE419" s="293"/>
      <c r="AF419" s="293"/>
      <c r="AG419" s="293"/>
      <c r="AH419" s="293"/>
      <c r="AI419" s="293"/>
      <c r="AJ419" s="293"/>
      <c r="AK419" s="293"/>
      <c r="AL419" s="293"/>
      <c r="AM419" s="293"/>
      <c r="AN419" s="293"/>
      <c r="AO419" s="293"/>
      <c r="AP419" s="293"/>
      <c r="AQ419" s="293"/>
      <c r="AR419" s="293"/>
      <c r="AS419" s="293"/>
      <c r="AT419" s="293"/>
      <c r="AU419" s="293"/>
      <c r="AV419" s="293"/>
      <c r="AW419" s="293"/>
      <c r="AX419" s="293"/>
      <c r="AY419" s="293"/>
      <c r="AZ419" s="293"/>
      <c r="BA419" s="293"/>
      <c r="BB419" s="293"/>
      <c r="BC419" s="293"/>
      <c r="BD419" s="293"/>
      <c r="BE419" s="293"/>
      <c r="BF419" s="293"/>
      <c r="BG419" s="293"/>
      <c r="BH419" s="413"/>
      <c r="BI419" s="413"/>
      <c r="BJ419" s="413"/>
      <c r="BK419" s="414"/>
      <c r="BL419" s="411"/>
      <c r="BM419" s="430"/>
    </row>
    <row r="420" spans="1:243" s="255" customFormat="1" ht="18" customHeight="1" x14ac:dyDescent="0.25">
      <c r="A420" s="422"/>
      <c r="B420" s="289" t="s">
        <v>31</v>
      </c>
      <c r="C420" s="413"/>
      <c r="D420" s="290" t="s">
        <v>31</v>
      </c>
      <c r="E420" s="291">
        <f t="shared" si="125"/>
        <v>1.56</v>
      </c>
      <c r="F420" s="291"/>
      <c r="G420" s="292">
        <f>SUM(H420:BG420)-M420-Q420-U420</f>
        <v>1.56</v>
      </c>
      <c r="H420" s="293">
        <v>0.12</v>
      </c>
      <c r="I420" s="293"/>
      <c r="J420" s="293"/>
      <c r="K420" s="293"/>
      <c r="L420" s="293"/>
      <c r="M420" s="293"/>
      <c r="N420" s="293"/>
      <c r="O420" s="293"/>
      <c r="P420" s="293"/>
      <c r="Q420" s="293"/>
      <c r="R420" s="293"/>
      <c r="S420" s="293"/>
      <c r="T420" s="293"/>
      <c r="U420" s="283">
        <f t="shared" si="136"/>
        <v>1.44</v>
      </c>
      <c r="V420" s="293">
        <v>1.44</v>
      </c>
      <c r="W420" s="293"/>
      <c r="X420" s="293"/>
      <c r="Y420" s="293"/>
      <c r="Z420" s="293"/>
      <c r="AA420" s="293"/>
      <c r="AB420" s="293"/>
      <c r="AC420" s="293"/>
      <c r="AD420" s="293"/>
      <c r="AE420" s="293"/>
      <c r="AF420" s="293"/>
      <c r="AG420" s="293"/>
      <c r="AH420" s="293"/>
      <c r="AI420" s="293"/>
      <c r="AJ420" s="293"/>
      <c r="AK420" s="293"/>
      <c r="AL420" s="293"/>
      <c r="AM420" s="293"/>
      <c r="AN420" s="293"/>
      <c r="AO420" s="293"/>
      <c r="AP420" s="293"/>
      <c r="AQ420" s="293"/>
      <c r="AR420" s="293"/>
      <c r="AS420" s="293"/>
      <c r="AT420" s="293"/>
      <c r="AU420" s="293"/>
      <c r="AV420" s="293"/>
      <c r="AW420" s="293"/>
      <c r="AX420" s="293"/>
      <c r="AY420" s="293"/>
      <c r="AZ420" s="293"/>
      <c r="BA420" s="293"/>
      <c r="BB420" s="293"/>
      <c r="BC420" s="293"/>
      <c r="BD420" s="293"/>
      <c r="BE420" s="293"/>
      <c r="BF420" s="293"/>
      <c r="BG420" s="293"/>
      <c r="BH420" s="413"/>
      <c r="BI420" s="413"/>
      <c r="BJ420" s="413"/>
      <c r="BK420" s="414"/>
      <c r="BL420" s="411"/>
      <c r="BM420" s="430"/>
    </row>
    <row r="421" spans="1:243" s="252" customFormat="1" ht="31.5" x14ac:dyDescent="0.25">
      <c r="A421" s="422">
        <f>A417+1</f>
        <v>253</v>
      </c>
      <c r="B421" s="280" t="s">
        <v>845</v>
      </c>
      <c r="C421" s="413" t="s">
        <v>82</v>
      </c>
      <c r="D421" s="264"/>
      <c r="E421" s="265">
        <f t="shared" si="125"/>
        <v>4.8600000000000003</v>
      </c>
      <c r="F421" s="267"/>
      <c r="G421" s="267">
        <f>SUM(H421:M421,Q421,U421,Y421:BG421)</f>
        <v>4.8600000000000003</v>
      </c>
      <c r="H421" s="283">
        <f>SUM(H422:H424)</f>
        <v>0.03</v>
      </c>
      <c r="I421" s="283">
        <f t="shared" ref="I421:BG421" si="137">SUM(I422:I424)</f>
        <v>0.05</v>
      </c>
      <c r="J421" s="283">
        <f t="shared" si="137"/>
        <v>0</v>
      </c>
      <c r="K421" s="283">
        <f t="shared" si="137"/>
        <v>1.95</v>
      </c>
      <c r="L421" s="283">
        <f t="shared" si="137"/>
        <v>0.64</v>
      </c>
      <c r="M421" s="283">
        <f t="shared" si="137"/>
        <v>0</v>
      </c>
      <c r="N421" s="283">
        <f t="shared" si="137"/>
        <v>0</v>
      </c>
      <c r="O421" s="283">
        <f t="shared" si="137"/>
        <v>0</v>
      </c>
      <c r="P421" s="283">
        <f t="shared" si="137"/>
        <v>0</v>
      </c>
      <c r="Q421" s="283">
        <f t="shared" si="137"/>
        <v>0</v>
      </c>
      <c r="R421" s="283">
        <f t="shared" si="137"/>
        <v>0</v>
      </c>
      <c r="S421" s="283">
        <f t="shared" si="137"/>
        <v>0</v>
      </c>
      <c r="T421" s="283">
        <f t="shared" si="137"/>
        <v>0</v>
      </c>
      <c r="U421" s="283">
        <f t="shared" si="137"/>
        <v>2.0700000000000003</v>
      </c>
      <c r="V421" s="283">
        <f t="shared" si="137"/>
        <v>1.4300000000000002</v>
      </c>
      <c r="W421" s="283">
        <f t="shared" si="137"/>
        <v>0.6399999999999999</v>
      </c>
      <c r="X421" s="283">
        <f t="shared" si="137"/>
        <v>0</v>
      </c>
      <c r="Y421" s="283">
        <f t="shared" si="137"/>
        <v>0</v>
      </c>
      <c r="Z421" s="283">
        <f t="shared" si="137"/>
        <v>0</v>
      </c>
      <c r="AA421" s="283">
        <f t="shared" si="137"/>
        <v>0</v>
      </c>
      <c r="AB421" s="283">
        <f t="shared" si="137"/>
        <v>0</v>
      </c>
      <c r="AC421" s="283">
        <f t="shared" si="137"/>
        <v>0</v>
      </c>
      <c r="AD421" s="283">
        <f t="shared" si="137"/>
        <v>0</v>
      </c>
      <c r="AE421" s="283">
        <f t="shared" si="137"/>
        <v>0</v>
      </c>
      <c r="AF421" s="283">
        <f t="shared" si="137"/>
        <v>0.12000000000000001</v>
      </c>
      <c r="AG421" s="283">
        <f t="shared" si="137"/>
        <v>0</v>
      </c>
      <c r="AH421" s="283">
        <f t="shared" si="137"/>
        <v>0</v>
      </c>
      <c r="AI421" s="283">
        <f t="shared" si="137"/>
        <v>0</v>
      </c>
      <c r="AJ421" s="283">
        <f t="shared" si="137"/>
        <v>0</v>
      </c>
      <c r="AK421" s="283">
        <f t="shared" si="137"/>
        <v>0</v>
      </c>
      <c r="AL421" s="283">
        <f t="shared" si="137"/>
        <v>0</v>
      </c>
      <c r="AM421" s="283">
        <f t="shared" si="137"/>
        <v>0</v>
      </c>
      <c r="AN421" s="283">
        <f t="shared" si="137"/>
        <v>0</v>
      </c>
      <c r="AO421" s="283">
        <f t="shared" si="137"/>
        <v>0</v>
      </c>
      <c r="AP421" s="283">
        <f t="shared" si="137"/>
        <v>0</v>
      </c>
      <c r="AQ421" s="283">
        <f t="shared" si="137"/>
        <v>0</v>
      </c>
      <c r="AR421" s="283">
        <f t="shared" si="137"/>
        <v>0</v>
      </c>
      <c r="AS421" s="283">
        <f t="shared" si="137"/>
        <v>0</v>
      </c>
      <c r="AT421" s="283">
        <f t="shared" si="137"/>
        <v>0</v>
      </c>
      <c r="AU421" s="283">
        <f t="shared" si="137"/>
        <v>0</v>
      </c>
      <c r="AV421" s="283">
        <f t="shared" si="137"/>
        <v>0</v>
      </c>
      <c r="AW421" s="283">
        <f t="shared" si="137"/>
        <v>0</v>
      </c>
      <c r="AX421" s="283">
        <f t="shared" si="137"/>
        <v>0</v>
      </c>
      <c r="AY421" s="283">
        <f t="shared" si="137"/>
        <v>0</v>
      </c>
      <c r="AZ421" s="283">
        <f t="shared" si="137"/>
        <v>0</v>
      </c>
      <c r="BA421" s="283">
        <f t="shared" si="137"/>
        <v>0</v>
      </c>
      <c r="BB421" s="283">
        <f t="shared" si="137"/>
        <v>0</v>
      </c>
      <c r="BC421" s="283">
        <f t="shared" si="137"/>
        <v>0</v>
      </c>
      <c r="BD421" s="283">
        <f t="shared" si="137"/>
        <v>0</v>
      </c>
      <c r="BE421" s="283">
        <f t="shared" si="137"/>
        <v>0</v>
      </c>
      <c r="BF421" s="283">
        <f t="shared" si="137"/>
        <v>0</v>
      </c>
      <c r="BG421" s="283">
        <f t="shared" si="137"/>
        <v>0</v>
      </c>
      <c r="BH421" s="413" t="s">
        <v>703</v>
      </c>
      <c r="BI421" s="413" t="s">
        <v>82</v>
      </c>
      <c r="BJ421" s="425" t="s">
        <v>847</v>
      </c>
      <c r="BK421" s="432" t="s">
        <v>120</v>
      </c>
      <c r="BL421" s="411" t="s">
        <v>361</v>
      </c>
      <c r="BM421" s="430" t="s">
        <v>1026</v>
      </c>
    </row>
    <row r="422" spans="1:243" s="255" customFormat="1" ht="20.25" customHeight="1" x14ac:dyDescent="0.25">
      <c r="A422" s="422"/>
      <c r="B422" s="289" t="s">
        <v>48</v>
      </c>
      <c r="C422" s="413"/>
      <c r="D422" s="290" t="s">
        <v>48</v>
      </c>
      <c r="E422" s="291">
        <f t="shared" si="125"/>
        <v>1.7800000000000002</v>
      </c>
      <c r="F422" s="291"/>
      <c r="G422" s="292">
        <f>SUM(H422:BG422)-M422-Q422-U422</f>
        <v>1.7800000000000002</v>
      </c>
      <c r="H422" s="293">
        <v>0.03</v>
      </c>
      <c r="I422" s="293">
        <v>0.05</v>
      </c>
      <c r="J422" s="293"/>
      <c r="K422" s="293">
        <v>0.56999999999999995</v>
      </c>
      <c r="L422" s="293">
        <v>0.34</v>
      </c>
      <c r="M422" s="293"/>
      <c r="N422" s="293"/>
      <c r="O422" s="293"/>
      <c r="P422" s="293"/>
      <c r="Q422" s="293"/>
      <c r="R422" s="293"/>
      <c r="S422" s="293"/>
      <c r="T422" s="293"/>
      <c r="U422" s="293">
        <f t="shared" si="136"/>
        <v>0.77</v>
      </c>
      <c r="V422" s="293">
        <v>0.42000000000000004</v>
      </c>
      <c r="W422" s="293">
        <v>0.35</v>
      </c>
      <c r="X422" s="293"/>
      <c r="Y422" s="293"/>
      <c r="Z422" s="293"/>
      <c r="AA422" s="293"/>
      <c r="AB422" s="293"/>
      <c r="AC422" s="293"/>
      <c r="AD422" s="293"/>
      <c r="AE422" s="293"/>
      <c r="AF422" s="293">
        <v>0.02</v>
      </c>
      <c r="AG422" s="293"/>
      <c r="AH422" s="293"/>
      <c r="AI422" s="293"/>
      <c r="AJ422" s="293"/>
      <c r="AK422" s="293"/>
      <c r="AL422" s="293"/>
      <c r="AM422" s="293"/>
      <c r="AN422" s="293"/>
      <c r="AO422" s="293"/>
      <c r="AP422" s="293"/>
      <c r="AQ422" s="293"/>
      <c r="AR422" s="293"/>
      <c r="AS422" s="293"/>
      <c r="AT422" s="293"/>
      <c r="AU422" s="293"/>
      <c r="AV422" s="293"/>
      <c r="AW422" s="293"/>
      <c r="AX422" s="293"/>
      <c r="AY422" s="293"/>
      <c r="AZ422" s="293"/>
      <c r="BA422" s="293"/>
      <c r="BB422" s="293"/>
      <c r="BC422" s="293"/>
      <c r="BD422" s="293"/>
      <c r="BE422" s="293"/>
      <c r="BF422" s="293"/>
      <c r="BG422" s="293"/>
      <c r="BH422" s="413"/>
      <c r="BI422" s="413"/>
      <c r="BJ422" s="425"/>
      <c r="BK422" s="432"/>
      <c r="BL422" s="411"/>
      <c r="BM422" s="430"/>
    </row>
    <row r="423" spans="1:243" s="255" customFormat="1" ht="20.25" customHeight="1" x14ac:dyDescent="0.25">
      <c r="A423" s="422"/>
      <c r="B423" s="289" t="s">
        <v>34</v>
      </c>
      <c r="C423" s="413"/>
      <c r="D423" s="290" t="s">
        <v>34</v>
      </c>
      <c r="E423" s="291">
        <f t="shared" si="125"/>
        <v>1.33</v>
      </c>
      <c r="F423" s="291"/>
      <c r="G423" s="292">
        <f>SUM(H423:BG423)-M423-Q423-U423</f>
        <v>1.33</v>
      </c>
      <c r="H423" s="293"/>
      <c r="I423" s="293"/>
      <c r="J423" s="293"/>
      <c r="K423" s="293">
        <f>0.7-0.02</f>
        <v>0.67999999999999994</v>
      </c>
      <c r="L423" s="293">
        <v>0.2</v>
      </c>
      <c r="M423" s="293"/>
      <c r="N423" s="293"/>
      <c r="O423" s="293"/>
      <c r="P423" s="293"/>
      <c r="Q423" s="293"/>
      <c r="R423" s="293"/>
      <c r="S423" s="293"/>
      <c r="T423" s="293"/>
      <c r="U423" s="286">
        <f t="shared" si="136"/>
        <v>0.35</v>
      </c>
      <c r="V423" s="284">
        <v>0.13</v>
      </c>
      <c r="W423" s="293">
        <v>0.21999999999999997</v>
      </c>
      <c r="X423" s="293"/>
      <c r="Y423" s="293"/>
      <c r="Z423" s="293"/>
      <c r="AA423" s="293"/>
      <c r="AB423" s="293"/>
      <c r="AC423" s="293"/>
      <c r="AD423" s="293"/>
      <c r="AE423" s="293"/>
      <c r="AF423" s="293">
        <v>0.1</v>
      </c>
      <c r="AG423" s="293"/>
      <c r="AH423" s="293"/>
      <c r="AI423" s="293"/>
      <c r="AJ423" s="293"/>
      <c r="AK423" s="293"/>
      <c r="AL423" s="293"/>
      <c r="AM423" s="293"/>
      <c r="AN423" s="293"/>
      <c r="AO423" s="293"/>
      <c r="AP423" s="293"/>
      <c r="AQ423" s="293"/>
      <c r="AR423" s="293"/>
      <c r="AS423" s="293"/>
      <c r="AT423" s="293"/>
      <c r="AU423" s="293"/>
      <c r="AV423" s="293"/>
      <c r="AW423" s="293"/>
      <c r="AX423" s="293"/>
      <c r="AY423" s="293"/>
      <c r="AZ423" s="293"/>
      <c r="BA423" s="293"/>
      <c r="BB423" s="293"/>
      <c r="BC423" s="293"/>
      <c r="BD423" s="293"/>
      <c r="BE423" s="293"/>
      <c r="BF423" s="293"/>
      <c r="BG423" s="293"/>
      <c r="BH423" s="413"/>
      <c r="BI423" s="413"/>
      <c r="BJ423" s="425"/>
      <c r="BK423" s="432"/>
      <c r="BL423" s="411"/>
      <c r="BM423" s="430"/>
    </row>
    <row r="424" spans="1:243" s="255" customFormat="1" ht="20.25" customHeight="1" x14ac:dyDescent="0.25">
      <c r="A424" s="422"/>
      <c r="B424" s="289" t="s">
        <v>229</v>
      </c>
      <c r="C424" s="413"/>
      <c r="D424" s="290"/>
      <c r="E424" s="291">
        <f t="shared" si="125"/>
        <v>1.7499999999999998</v>
      </c>
      <c r="F424" s="291"/>
      <c r="G424" s="292">
        <f>SUM(H424:BG424)-M424-Q424-U424</f>
        <v>1.7499999999999998</v>
      </c>
      <c r="H424" s="293"/>
      <c r="I424" s="293"/>
      <c r="J424" s="293"/>
      <c r="K424" s="293">
        <f>0.5+0.2</f>
        <v>0.7</v>
      </c>
      <c r="L424" s="293">
        <v>0.1</v>
      </c>
      <c r="M424" s="293"/>
      <c r="N424" s="293"/>
      <c r="O424" s="293"/>
      <c r="P424" s="293"/>
      <c r="Q424" s="293"/>
      <c r="R424" s="293"/>
      <c r="S424" s="293"/>
      <c r="T424" s="293"/>
      <c r="U424" s="286">
        <f t="shared" si="136"/>
        <v>0.95</v>
      </c>
      <c r="V424" s="284">
        <v>0.88</v>
      </c>
      <c r="W424" s="283">
        <v>7.0000000000000007E-2</v>
      </c>
      <c r="X424" s="293"/>
      <c r="Y424" s="293"/>
      <c r="Z424" s="293"/>
      <c r="AA424" s="293"/>
      <c r="AB424" s="293"/>
      <c r="AC424" s="293"/>
      <c r="AD424" s="293"/>
      <c r="AE424" s="293"/>
      <c r="AF424" s="293"/>
      <c r="AG424" s="293"/>
      <c r="AH424" s="293"/>
      <c r="AI424" s="293"/>
      <c r="AJ424" s="293"/>
      <c r="AK424" s="293"/>
      <c r="AL424" s="293"/>
      <c r="AM424" s="293"/>
      <c r="AN424" s="293"/>
      <c r="AO424" s="293"/>
      <c r="AP424" s="293"/>
      <c r="AQ424" s="293"/>
      <c r="AR424" s="293"/>
      <c r="AS424" s="293"/>
      <c r="AT424" s="293"/>
      <c r="AU424" s="293"/>
      <c r="AV424" s="293"/>
      <c r="AW424" s="293"/>
      <c r="AX424" s="293"/>
      <c r="AY424" s="293"/>
      <c r="AZ424" s="293"/>
      <c r="BA424" s="293"/>
      <c r="BB424" s="293"/>
      <c r="BC424" s="293"/>
      <c r="BD424" s="293"/>
      <c r="BE424" s="293"/>
      <c r="BF424" s="293"/>
      <c r="BG424" s="293"/>
      <c r="BH424" s="413"/>
      <c r="BI424" s="413"/>
      <c r="BJ424" s="425"/>
      <c r="BK424" s="432"/>
      <c r="BL424" s="411"/>
      <c r="BM424" s="430"/>
    </row>
    <row r="425" spans="1:243" s="252" customFormat="1" ht="31.5" x14ac:dyDescent="0.25">
      <c r="A425" s="422">
        <f>A421+1</f>
        <v>254</v>
      </c>
      <c r="B425" s="280" t="s">
        <v>848</v>
      </c>
      <c r="C425" s="413" t="s">
        <v>82</v>
      </c>
      <c r="D425" s="264"/>
      <c r="E425" s="265">
        <f t="shared" si="125"/>
        <v>2.2000000000000002</v>
      </c>
      <c r="F425" s="267"/>
      <c r="G425" s="267">
        <f>SUM(H425:M425,Q425,U425,Y425:BG425)</f>
        <v>2.2000000000000002</v>
      </c>
      <c r="H425" s="283">
        <v>2.2000000000000002</v>
      </c>
      <c r="I425" s="284"/>
      <c r="J425" s="283"/>
      <c r="K425" s="283"/>
      <c r="L425" s="284"/>
      <c r="M425" s="283"/>
      <c r="N425" s="283"/>
      <c r="O425" s="283"/>
      <c r="P425" s="283"/>
      <c r="Q425" s="283"/>
      <c r="R425" s="283"/>
      <c r="S425" s="283"/>
      <c r="T425" s="283"/>
      <c r="U425" s="283"/>
      <c r="V425" s="284"/>
      <c r="W425" s="283"/>
      <c r="X425" s="283"/>
      <c r="Y425" s="283"/>
      <c r="Z425" s="283"/>
      <c r="AA425" s="283"/>
      <c r="AB425" s="283"/>
      <c r="AC425" s="283"/>
      <c r="AD425" s="283"/>
      <c r="AE425" s="283"/>
      <c r="AF425" s="283"/>
      <c r="AG425" s="283"/>
      <c r="AH425" s="283"/>
      <c r="AI425" s="283"/>
      <c r="AJ425" s="283"/>
      <c r="AK425" s="283"/>
      <c r="AL425" s="283"/>
      <c r="AM425" s="283"/>
      <c r="AN425" s="283"/>
      <c r="AO425" s="283"/>
      <c r="AP425" s="283"/>
      <c r="AQ425" s="283"/>
      <c r="AR425" s="283"/>
      <c r="AS425" s="283"/>
      <c r="AT425" s="283"/>
      <c r="AU425" s="283"/>
      <c r="AV425" s="283"/>
      <c r="AW425" s="283"/>
      <c r="AX425" s="283"/>
      <c r="AY425" s="283"/>
      <c r="AZ425" s="283"/>
      <c r="BA425" s="283"/>
      <c r="BB425" s="283"/>
      <c r="BC425" s="283"/>
      <c r="BD425" s="283"/>
      <c r="BE425" s="283"/>
      <c r="BF425" s="283"/>
      <c r="BG425" s="283"/>
      <c r="BH425" s="413" t="s">
        <v>849</v>
      </c>
      <c r="BI425" s="413" t="s">
        <v>82</v>
      </c>
      <c r="BJ425" s="429" t="s">
        <v>850</v>
      </c>
      <c r="BK425" s="414" t="s">
        <v>120</v>
      </c>
      <c r="BL425" s="411" t="s">
        <v>361</v>
      </c>
      <c r="BM425" s="430" t="s">
        <v>1026</v>
      </c>
    </row>
    <row r="426" spans="1:243" s="255" customFormat="1" ht="22.5" customHeight="1" x14ac:dyDescent="0.25">
      <c r="A426" s="422"/>
      <c r="B426" s="289" t="s">
        <v>48</v>
      </c>
      <c r="C426" s="413"/>
      <c r="D426" s="290" t="s">
        <v>48</v>
      </c>
      <c r="E426" s="291">
        <f t="shared" si="125"/>
        <v>1.54</v>
      </c>
      <c r="F426" s="291"/>
      <c r="G426" s="292">
        <f>SUM(H426:BG426)-M426-Q426-U426</f>
        <v>1.54</v>
      </c>
      <c r="H426" s="293">
        <v>1.54</v>
      </c>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3"/>
      <c r="AJ426" s="293"/>
      <c r="AK426" s="293"/>
      <c r="AL426" s="293"/>
      <c r="AM426" s="293"/>
      <c r="AN426" s="293"/>
      <c r="AO426" s="293"/>
      <c r="AP426" s="293"/>
      <c r="AQ426" s="293"/>
      <c r="AR426" s="293"/>
      <c r="AS426" s="293"/>
      <c r="AT426" s="293"/>
      <c r="AU426" s="293"/>
      <c r="AV426" s="293"/>
      <c r="AW426" s="293"/>
      <c r="AX426" s="293"/>
      <c r="AY426" s="293"/>
      <c r="AZ426" s="293"/>
      <c r="BA426" s="293"/>
      <c r="BB426" s="293"/>
      <c r="BC426" s="293"/>
      <c r="BD426" s="293"/>
      <c r="BE426" s="293"/>
      <c r="BF426" s="293"/>
      <c r="BG426" s="293"/>
      <c r="BH426" s="413"/>
      <c r="BI426" s="413"/>
      <c r="BJ426" s="429"/>
      <c r="BK426" s="414"/>
      <c r="BL426" s="411"/>
      <c r="BM426" s="430"/>
    </row>
    <row r="427" spans="1:243" s="255" customFormat="1" ht="22.5" customHeight="1" x14ac:dyDescent="0.25">
      <c r="A427" s="422"/>
      <c r="B427" s="289" t="s">
        <v>34</v>
      </c>
      <c r="C427" s="413"/>
      <c r="D427" s="290" t="s">
        <v>34</v>
      </c>
      <c r="E427" s="291">
        <f t="shared" si="125"/>
        <v>0.66</v>
      </c>
      <c r="F427" s="291"/>
      <c r="G427" s="292">
        <f>SUM(H427:BG427)-M427-Q427-U427</f>
        <v>0.66</v>
      </c>
      <c r="H427" s="293">
        <v>0.66</v>
      </c>
      <c r="I427" s="293"/>
      <c r="J427" s="293"/>
      <c r="K427" s="293"/>
      <c r="L427" s="293"/>
      <c r="M427" s="293"/>
      <c r="N427" s="293"/>
      <c r="O427" s="293"/>
      <c r="P427" s="293"/>
      <c r="Q427" s="293"/>
      <c r="R427" s="293"/>
      <c r="S427" s="293"/>
      <c r="T427" s="293"/>
      <c r="U427" s="286"/>
      <c r="V427" s="293"/>
      <c r="W427" s="293"/>
      <c r="X427" s="293"/>
      <c r="Y427" s="293"/>
      <c r="Z427" s="293"/>
      <c r="AA427" s="293"/>
      <c r="AB427" s="293"/>
      <c r="AC427" s="293"/>
      <c r="AD427" s="293"/>
      <c r="AE427" s="293"/>
      <c r="AF427" s="293"/>
      <c r="AG427" s="293"/>
      <c r="AH427" s="293"/>
      <c r="AI427" s="293"/>
      <c r="AJ427" s="293"/>
      <c r="AK427" s="293"/>
      <c r="AL427" s="293"/>
      <c r="AM427" s="293"/>
      <c r="AN427" s="293"/>
      <c r="AO427" s="293"/>
      <c r="AP427" s="293"/>
      <c r="AQ427" s="293"/>
      <c r="AR427" s="293"/>
      <c r="AS427" s="293"/>
      <c r="AT427" s="293"/>
      <c r="AU427" s="293"/>
      <c r="AV427" s="293"/>
      <c r="AW427" s="293"/>
      <c r="AX427" s="293"/>
      <c r="AY427" s="293"/>
      <c r="AZ427" s="293"/>
      <c r="BA427" s="293"/>
      <c r="BB427" s="293"/>
      <c r="BC427" s="293"/>
      <c r="BD427" s="293"/>
      <c r="BE427" s="293"/>
      <c r="BF427" s="293"/>
      <c r="BG427" s="293"/>
      <c r="BH427" s="413"/>
      <c r="BI427" s="413"/>
      <c r="BJ427" s="429"/>
      <c r="BK427" s="414"/>
      <c r="BL427" s="411"/>
      <c r="BM427" s="430"/>
    </row>
    <row r="428" spans="1:243" s="252" customFormat="1" ht="31.5" x14ac:dyDescent="0.25">
      <c r="A428" s="422">
        <f>A425+1</f>
        <v>255</v>
      </c>
      <c r="B428" s="280" t="s">
        <v>851</v>
      </c>
      <c r="C428" s="413" t="s">
        <v>82</v>
      </c>
      <c r="D428" s="264"/>
      <c r="E428" s="265">
        <f t="shared" si="125"/>
        <v>5</v>
      </c>
      <c r="F428" s="267"/>
      <c r="G428" s="267">
        <f>SUM(H428:M428,Q428,U428,Y428:BG428)</f>
        <v>5</v>
      </c>
      <c r="H428" s="283">
        <v>0.4</v>
      </c>
      <c r="I428" s="284"/>
      <c r="J428" s="283"/>
      <c r="K428" s="283">
        <v>0.57999999999999996</v>
      </c>
      <c r="L428" s="284">
        <v>3.4</v>
      </c>
      <c r="M428" s="283"/>
      <c r="N428" s="283"/>
      <c r="O428" s="283"/>
      <c r="P428" s="283"/>
      <c r="Q428" s="283"/>
      <c r="R428" s="283"/>
      <c r="S428" s="283"/>
      <c r="T428" s="283"/>
      <c r="U428" s="283">
        <f>SUM(V428:X428)</f>
        <v>0</v>
      </c>
      <c r="V428" s="284"/>
      <c r="W428" s="283"/>
      <c r="X428" s="283"/>
      <c r="Y428" s="283"/>
      <c r="Z428" s="283"/>
      <c r="AA428" s="283"/>
      <c r="AB428" s="283"/>
      <c r="AC428" s="283"/>
      <c r="AD428" s="283"/>
      <c r="AE428" s="283"/>
      <c r="AF428" s="283"/>
      <c r="AG428" s="283"/>
      <c r="AH428" s="283"/>
      <c r="AI428" s="283"/>
      <c r="AJ428" s="283"/>
      <c r="AK428" s="283"/>
      <c r="AL428" s="283"/>
      <c r="AM428" s="283"/>
      <c r="AN428" s="283"/>
      <c r="AO428" s="283"/>
      <c r="AP428" s="283"/>
      <c r="AQ428" s="283"/>
      <c r="AR428" s="283"/>
      <c r="AS428" s="283"/>
      <c r="AT428" s="283">
        <v>0.62</v>
      </c>
      <c r="AU428" s="283"/>
      <c r="AV428" s="283"/>
      <c r="AW428" s="283"/>
      <c r="AX428" s="283"/>
      <c r="AY428" s="283"/>
      <c r="AZ428" s="283"/>
      <c r="BA428" s="283"/>
      <c r="BB428" s="283"/>
      <c r="BC428" s="283"/>
      <c r="BD428" s="283"/>
      <c r="BE428" s="283"/>
      <c r="BF428" s="283"/>
      <c r="BG428" s="283"/>
      <c r="BH428" s="413" t="s">
        <v>417</v>
      </c>
      <c r="BI428" s="413" t="s">
        <v>82</v>
      </c>
      <c r="BJ428" s="413" t="s">
        <v>852</v>
      </c>
      <c r="BK428" s="414" t="s">
        <v>398</v>
      </c>
      <c r="BL428" s="411" t="s">
        <v>361</v>
      </c>
      <c r="BM428" s="430" t="s">
        <v>1026</v>
      </c>
    </row>
    <row r="429" spans="1:243" s="252" customFormat="1" ht="21.75" customHeight="1" x14ac:dyDescent="0.25">
      <c r="A429" s="422"/>
      <c r="B429" s="289" t="s">
        <v>48</v>
      </c>
      <c r="C429" s="413"/>
      <c r="D429" s="290" t="s">
        <v>48</v>
      </c>
      <c r="E429" s="291">
        <f t="shared" si="125"/>
        <v>3.5</v>
      </c>
      <c r="F429" s="291"/>
      <c r="G429" s="292">
        <f>SUM(H429:BG429)-M429-Q429-U429</f>
        <v>3.5</v>
      </c>
      <c r="H429" s="283">
        <v>0.3</v>
      </c>
      <c r="I429" s="283">
        <v>0</v>
      </c>
      <c r="J429" s="283">
        <v>0</v>
      </c>
      <c r="K429" s="283">
        <v>0.48</v>
      </c>
      <c r="L429" s="283">
        <v>2.1</v>
      </c>
      <c r="M429" s="283">
        <v>0</v>
      </c>
      <c r="N429" s="283">
        <v>0</v>
      </c>
      <c r="O429" s="283">
        <v>0</v>
      </c>
      <c r="P429" s="283">
        <v>0</v>
      </c>
      <c r="Q429" s="283">
        <v>0</v>
      </c>
      <c r="R429" s="283">
        <v>0</v>
      </c>
      <c r="S429" s="283">
        <v>0</v>
      </c>
      <c r="T429" s="283">
        <v>0</v>
      </c>
      <c r="U429" s="283">
        <f>SUM(V429:X429)</f>
        <v>0</v>
      </c>
      <c r="V429" s="283"/>
      <c r="W429" s="283">
        <v>0</v>
      </c>
      <c r="X429" s="283">
        <v>0</v>
      </c>
      <c r="Y429" s="283">
        <v>0</v>
      </c>
      <c r="Z429" s="283">
        <v>0</v>
      </c>
      <c r="AA429" s="283">
        <v>0</v>
      </c>
      <c r="AB429" s="283">
        <v>0</v>
      </c>
      <c r="AC429" s="283">
        <v>0</v>
      </c>
      <c r="AD429" s="283">
        <v>0</v>
      </c>
      <c r="AE429" s="283">
        <v>0</v>
      </c>
      <c r="AF429" s="283">
        <v>0</v>
      </c>
      <c r="AG429" s="283">
        <v>0</v>
      </c>
      <c r="AH429" s="283">
        <v>0</v>
      </c>
      <c r="AI429" s="283">
        <v>0</v>
      </c>
      <c r="AJ429" s="283">
        <v>0</v>
      </c>
      <c r="AK429" s="283">
        <v>0</v>
      </c>
      <c r="AL429" s="283">
        <v>0</v>
      </c>
      <c r="AM429" s="283">
        <v>0</v>
      </c>
      <c r="AN429" s="283">
        <v>0</v>
      </c>
      <c r="AO429" s="283">
        <v>0</v>
      </c>
      <c r="AP429" s="283">
        <v>0</v>
      </c>
      <c r="AQ429" s="283">
        <v>0</v>
      </c>
      <c r="AR429" s="283">
        <v>0</v>
      </c>
      <c r="AS429" s="283">
        <v>0</v>
      </c>
      <c r="AT429" s="283">
        <v>0.62</v>
      </c>
      <c r="AU429" s="283">
        <v>0</v>
      </c>
      <c r="AV429" s="283">
        <v>0</v>
      </c>
      <c r="AW429" s="283">
        <v>0</v>
      </c>
      <c r="AX429" s="283">
        <v>0</v>
      </c>
      <c r="AY429" s="283">
        <v>0</v>
      </c>
      <c r="AZ429" s="283">
        <v>0</v>
      </c>
      <c r="BA429" s="283">
        <v>0</v>
      </c>
      <c r="BB429" s="283">
        <v>0</v>
      </c>
      <c r="BC429" s="283">
        <v>0</v>
      </c>
      <c r="BD429" s="283">
        <v>0</v>
      </c>
      <c r="BE429" s="283">
        <v>0</v>
      </c>
      <c r="BF429" s="283">
        <v>0</v>
      </c>
      <c r="BG429" s="283">
        <v>0</v>
      </c>
      <c r="BH429" s="413"/>
      <c r="BI429" s="413"/>
      <c r="BJ429" s="413"/>
      <c r="BK429" s="414"/>
      <c r="BL429" s="411"/>
      <c r="BM429" s="430"/>
    </row>
    <row r="430" spans="1:243" s="252" customFormat="1" ht="21.75" customHeight="1" x14ac:dyDescent="0.25">
      <c r="A430" s="422"/>
      <c r="B430" s="289" t="s">
        <v>34</v>
      </c>
      <c r="C430" s="413"/>
      <c r="D430" s="290" t="s">
        <v>34</v>
      </c>
      <c r="E430" s="291">
        <f t="shared" si="125"/>
        <v>1.5</v>
      </c>
      <c r="F430" s="291"/>
      <c r="G430" s="292">
        <f>SUM(H430:BG430)-M430-Q430-U430</f>
        <v>1.5</v>
      </c>
      <c r="H430" s="293">
        <v>0.1</v>
      </c>
      <c r="I430" s="293"/>
      <c r="J430" s="293"/>
      <c r="K430" s="293">
        <v>0.1</v>
      </c>
      <c r="L430" s="293">
        <v>1.3</v>
      </c>
      <c r="M430" s="293"/>
      <c r="N430" s="293"/>
      <c r="O430" s="293"/>
      <c r="P430" s="293"/>
      <c r="Q430" s="293"/>
      <c r="R430" s="293"/>
      <c r="S430" s="293"/>
      <c r="T430" s="293"/>
      <c r="U430" s="287">
        <f>SUM(V430:X430)</f>
        <v>0</v>
      </c>
      <c r="V430" s="293"/>
      <c r="W430" s="293"/>
      <c r="X430" s="293"/>
      <c r="Y430" s="293"/>
      <c r="Z430" s="293"/>
      <c r="AA430" s="293"/>
      <c r="AB430" s="293"/>
      <c r="AC430" s="293"/>
      <c r="AD430" s="293"/>
      <c r="AE430" s="293"/>
      <c r="AF430" s="293"/>
      <c r="AG430" s="293"/>
      <c r="AH430" s="293"/>
      <c r="AI430" s="293"/>
      <c r="AJ430" s="293"/>
      <c r="AK430" s="293"/>
      <c r="AL430" s="293"/>
      <c r="AM430" s="293"/>
      <c r="AN430" s="293"/>
      <c r="AO430" s="293"/>
      <c r="AP430" s="293"/>
      <c r="AQ430" s="293"/>
      <c r="AR430" s="293"/>
      <c r="AS430" s="293"/>
      <c r="AT430" s="293"/>
      <c r="AU430" s="293"/>
      <c r="AV430" s="293"/>
      <c r="AW430" s="293"/>
      <c r="AX430" s="293"/>
      <c r="AY430" s="293"/>
      <c r="AZ430" s="293"/>
      <c r="BA430" s="293"/>
      <c r="BB430" s="293"/>
      <c r="BC430" s="293"/>
      <c r="BD430" s="293"/>
      <c r="BE430" s="293"/>
      <c r="BF430" s="293"/>
      <c r="BG430" s="293"/>
      <c r="BH430" s="413"/>
      <c r="BI430" s="413"/>
      <c r="BJ430" s="413"/>
      <c r="BK430" s="414"/>
      <c r="BL430" s="411"/>
      <c r="BM430" s="430"/>
      <c r="BN430" s="255"/>
      <c r="BO430" s="255"/>
      <c r="BP430" s="255"/>
      <c r="BQ430" s="255"/>
      <c r="BR430" s="255"/>
      <c r="BS430" s="255"/>
      <c r="BT430" s="255"/>
      <c r="BU430" s="255"/>
      <c r="BV430" s="255"/>
      <c r="BW430" s="255"/>
      <c r="BX430" s="255"/>
      <c r="BY430" s="255"/>
      <c r="BZ430" s="255"/>
      <c r="CA430" s="255"/>
      <c r="CB430" s="255"/>
      <c r="CC430" s="255"/>
      <c r="CD430" s="255"/>
      <c r="CE430" s="255"/>
      <c r="CF430" s="255"/>
      <c r="CG430" s="255"/>
      <c r="CH430" s="255"/>
      <c r="CI430" s="255"/>
      <c r="CJ430" s="255"/>
      <c r="CK430" s="255"/>
      <c r="CL430" s="255"/>
      <c r="CM430" s="255"/>
      <c r="CN430" s="255"/>
      <c r="CO430" s="255"/>
      <c r="CP430" s="255"/>
      <c r="CQ430" s="255"/>
      <c r="CR430" s="255"/>
      <c r="CS430" s="255"/>
      <c r="CT430" s="255"/>
      <c r="CU430" s="255"/>
      <c r="CV430" s="255"/>
      <c r="CW430" s="255"/>
      <c r="CX430" s="255"/>
      <c r="CY430" s="255"/>
      <c r="CZ430" s="255"/>
      <c r="DA430" s="255"/>
      <c r="DB430" s="255"/>
      <c r="DC430" s="255"/>
      <c r="DD430" s="255"/>
      <c r="DE430" s="255"/>
      <c r="DF430" s="255"/>
      <c r="DG430" s="255"/>
      <c r="DH430" s="255"/>
      <c r="DI430" s="255"/>
      <c r="DJ430" s="255"/>
      <c r="DK430" s="255"/>
      <c r="DL430" s="255"/>
      <c r="DM430" s="255"/>
      <c r="DN430" s="255"/>
      <c r="DO430" s="255"/>
      <c r="DP430" s="255"/>
      <c r="DQ430" s="255"/>
      <c r="DR430" s="255"/>
      <c r="DS430" s="255"/>
      <c r="DT430" s="255"/>
      <c r="DU430" s="255"/>
      <c r="DV430" s="255"/>
      <c r="DW430" s="255"/>
      <c r="DX430" s="255"/>
      <c r="DY430" s="255"/>
      <c r="DZ430" s="255"/>
      <c r="EA430" s="255"/>
      <c r="EB430" s="255"/>
      <c r="EC430" s="255"/>
      <c r="ED430" s="255"/>
      <c r="EE430" s="255"/>
      <c r="EF430" s="255"/>
      <c r="EG430" s="255"/>
      <c r="EH430" s="255"/>
      <c r="EI430" s="255"/>
      <c r="EJ430" s="255"/>
      <c r="EK430" s="255"/>
      <c r="EL430" s="255"/>
      <c r="EM430" s="255"/>
      <c r="EN430" s="255"/>
      <c r="EO430" s="255"/>
      <c r="EP430" s="255"/>
      <c r="EQ430" s="255"/>
      <c r="ER430" s="255"/>
      <c r="ES430" s="255"/>
      <c r="ET430" s="255"/>
      <c r="EU430" s="255"/>
      <c r="EV430" s="255"/>
      <c r="EW430" s="255"/>
      <c r="EX430" s="255"/>
      <c r="EY430" s="255"/>
      <c r="EZ430" s="255"/>
      <c r="FA430" s="255"/>
      <c r="FB430" s="255"/>
      <c r="FC430" s="255"/>
      <c r="FD430" s="255"/>
      <c r="FE430" s="255"/>
      <c r="FF430" s="255"/>
      <c r="FG430" s="255"/>
      <c r="FH430" s="255"/>
      <c r="FI430" s="255"/>
      <c r="FJ430" s="255"/>
      <c r="FK430" s="255"/>
      <c r="FL430" s="255"/>
      <c r="FM430" s="255"/>
      <c r="FN430" s="255"/>
      <c r="FO430" s="255"/>
      <c r="FP430" s="255"/>
      <c r="FQ430" s="255"/>
      <c r="FR430" s="255"/>
      <c r="FS430" s="255"/>
      <c r="FT430" s="255"/>
      <c r="FU430" s="255"/>
      <c r="FV430" s="255"/>
      <c r="FW430" s="255"/>
      <c r="FX430" s="255"/>
      <c r="FY430" s="255"/>
      <c r="FZ430" s="255"/>
      <c r="GA430" s="255"/>
      <c r="GB430" s="255"/>
      <c r="GC430" s="255"/>
      <c r="GD430" s="255"/>
      <c r="GE430" s="255"/>
      <c r="GF430" s="255"/>
      <c r="GG430" s="255"/>
      <c r="GH430" s="255"/>
      <c r="GI430" s="255"/>
      <c r="GJ430" s="255"/>
      <c r="GK430" s="255"/>
      <c r="GL430" s="255"/>
      <c r="GM430" s="255"/>
      <c r="GN430" s="255"/>
      <c r="GO430" s="255"/>
      <c r="GP430" s="255"/>
      <c r="GQ430" s="255"/>
      <c r="GR430" s="255"/>
      <c r="GS430" s="255"/>
      <c r="GT430" s="255"/>
      <c r="GU430" s="255"/>
      <c r="GV430" s="255"/>
      <c r="GW430" s="255"/>
      <c r="GX430" s="255"/>
      <c r="GY430" s="255"/>
      <c r="GZ430" s="255"/>
      <c r="HA430" s="255"/>
      <c r="HB430" s="255"/>
      <c r="HC430" s="255"/>
      <c r="HD430" s="255"/>
      <c r="HE430" s="255"/>
      <c r="HF430" s="255"/>
      <c r="HG430" s="255"/>
      <c r="HH430" s="255"/>
      <c r="HI430" s="255"/>
      <c r="HJ430" s="255"/>
      <c r="HK430" s="255"/>
      <c r="HL430" s="255"/>
      <c r="HM430" s="255"/>
      <c r="HN430" s="255"/>
      <c r="HO430" s="255"/>
      <c r="HP430" s="255"/>
      <c r="HQ430" s="255"/>
      <c r="HR430" s="255"/>
      <c r="HS430" s="255"/>
      <c r="HT430" s="255"/>
      <c r="HU430" s="255"/>
      <c r="HV430" s="255"/>
      <c r="HW430" s="255"/>
      <c r="HX430" s="255"/>
      <c r="HY430" s="255"/>
      <c r="HZ430" s="255"/>
      <c r="IA430" s="255"/>
      <c r="IB430" s="255"/>
      <c r="IC430" s="255"/>
      <c r="ID430" s="255"/>
      <c r="IE430" s="255"/>
      <c r="IF430" s="255"/>
      <c r="IG430" s="255"/>
      <c r="IH430" s="255"/>
      <c r="II430" s="255"/>
    </row>
    <row r="431" spans="1:243" s="252" customFormat="1" ht="31.5" x14ac:dyDescent="0.25">
      <c r="A431" s="416">
        <f>A428+1</f>
        <v>256</v>
      </c>
      <c r="B431" s="280" t="s">
        <v>853</v>
      </c>
      <c r="C431" s="413" t="s">
        <v>82</v>
      </c>
      <c r="D431" s="264"/>
      <c r="E431" s="265">
        <f t="shared" si="125"/>
        <v>5</v>
      </c>
      <c r="F431" s="267"/>
      <c r="G431" s="267">
        <f>SUM(H431:M431,Q431,U431,Y431:BG431)</f>
        <v>5</v>
      </c>
      <c r="H431" s="283">
        <v>1.22</v>
      </c>
      <c r="I431" s="284">
        <v>1.07</v>
      </c>
      <c r="J431" s="283"/>
      <c r="K431" s="283">
        <v>1.56</v>
      </c>
      <c r="L431" s="284">
        <v>0.8</v>
      </c>
      <c r="M431" s="283"/>
      <c r="N431" s="283"/>
      <c r="O431" s="283"/>
      <c r="P431" s="283"/>
      <c r="Q431" s="283"/>
      <c r="R431" s="283"/>
      <c r="S431" s="283"/>
      <c r="T431" s="283"/>
      <c r="U431" s="283"/>
      <c r="V431" s="284"/>
      <c r="W431" s="283"/>
      <c r="X431" s="283"/>
      <c r="Y431" s="283"/>
      <c r="Z431" s="283"/>
      <c r="AA431" s="283"/>
      <c r="AB431" s="283"/>
      <c r="AC431" s="283"/>
      <c r="AD431" s="283"/>
      <c r="AE431" s="283"/>
      <c r="AF431" s="283">
        <v>0.35</v>
      </c>
      <c r="AG431" s="283"/>
      <c r="AH431" s="283"/>
      <c r="AI431" s="283"/>
      <c r="AJ431" s="283"/>
      <c r="AK431" s="283"/>
      <c r="AL431" s="283"/>
      <c r="AM431" s="283"/>
      <c r="AN431" s="283"/>
      <c r="AO431" s="283"/>
      <c r="AP431" s="283"/>
      <c r="AQ431" s="283"/>
      <c r="AR431" s="283"/>
      <c r="AS431" s="283"/>
      <c r="AT431" s="283"/>
      <c r="AU431" s="283"/>
      <c r="AV431" s="283"/>
      <c r="AW431" s="283"/>
      <c r="AX431" s="283"/>
      <c r="AY431" s="283"/>
      <c r="AZ431" s="283"/>
      <c r="BA431" s="283"/>
      <c r="BB431" s="283"/>
      <c r="BC431" s="283"/>
      <c r="BD431" s="283"/>
      <c r="BE431" s="283"/>
      <c r="BF431" s="283"/>
      <c r="BG431" s="283"/>
      <c r="BH431" s="413" t="s">
        <v>854</v>
      </c>
      <c r="BI431" s="413" t="s">
        <v>82</v>
      </c>
      <c r="BJ431" s="429" t="s">
        <v>850</v>
      </c>
      <c r="BK431" s="414" t="s">
        <v>398</v>
      </c>
      <c r="BL431" s="411" t="s">
        <v>361</v>
      </c>
      <c r="BM431" s="430" t="s">
        <v>1026</v>
      </c>
    </row>
    <row r="432" spans="1:243" s="252" customFormat="1" ht="19.5" customHeight="1" x14ac:dyDescent="0.25">
      <c r="A432" s="416"/>
      <c r="B432" s="289" t="s">
        <v>48</v>
      </c>
      <c r="C432" s="413"/>
      <c r="D432" s="290" t="s">
        <v>48</v>
      </c>
      <c r="E432" s="291">
        <f t="shared" si="125"/>
        <v>2.88</v>
      </c>
      <c r="F432" s="291"/>
      <c r="G432" s="299">
        <f>SUM(H432:BG432)-M432-Q432-U432</f>
        <v>2.88</v>
      </c>
      <c r="H432" s="283">
        <v>0.7</v>
      </c>
      <c r="I432" s="283">
        <v>0.67</v>
      </c>
      <c r="J432" s="283">
        <v>0</v>
      </c>
      <c r="K432" s="283">
        <v>0.96</v>
      </c>
      <c r="L432" s="283">
        <v>0.5</v>
      </c>
      <c r="M432" s="283">
        <v>0</v>
      </c>
      <c r="N432" s="283">
        <v>0</v>
      </c>
      <c r="O432" s="283">
        <v>0</v>
      </c>
      <c r="P432" s="283">
        <v>0</v>
      </c>
      <c r="Q432" s="283">
        <v>0</v>
      </c>
      <c r="R432" s="283">
        <v>0</v>
      </c>
      <c r="S432" s="283">
        <v>0</v>
      </c>
      <c r="T432" s="283">
        <v>0</v>
      </c>
      <c r="U432" s="283"/>
      <c r="V432" s="283"/>
      <c r="W432" s="283">
        <v>0</v>
      </c>
      <c r="X432" s="283">
        <v>0</v>
      </c>
      <c r="Y432" s="283">
        <v>0</v>
      </c>
      <c r="Z432" s="283">
        <v>0</v>
      </c>
      <c r="AA432" s="283">
        <v>0</v>
      </c>
      <c r="AB432" s="283">
        <v>0</v>
      </c>
      <c r="AC432" s="283">
        <v>0</v>
      </c>
      <c r="AD432" s="283">
        <v>0</v>
      </c>
      <c r="AE432" s="283">
        <v>0</v>
      </c>
      <c r="AF432" s="283">
        <v>0.05</v>
      </c>
      <c r="AG432" s="283">
        <v>0</v>
      </c>
      <c r="AH432" s="283">
        <v>0</v>
      </c>
      <c r="AI432" s="283">
        <v>0</v>
      </c>
      <c r="AJ432" s="283">
        <v>0</v>
      </c>
      <c r="AK432" s="283">
        <v>0</v>
      </c>
      <c r="AL432" s="283">
        <v>0</v>
      </c>
      <c r="AM432" s="283">
        <v>0</v>
      </c>
      <c r="AN432" s="283">
        <v>0</v>
      </c>
      <c r="AO432" s="283">
        <v>0</v>
      </c>
      <c r="AP432" s="283">
        <v>0</v>
      </c>
      <c r="AQ432" s="283">
        <v>0</v>
      </c>
      <c r="AR432" s="283">
        <v>0</v>
      </c>
      <c r="AS432" s="283">
        <v>0</v>
      </c>
      <c r="AT432" s="283">
        <v>0</v>
      </c>
      <c r="AU432" s="283">
        <v>0</v>
      </c>
      <c r="AV432" s="283">
        <v>0</v>
      </c>
      <c r="AW432" s="283">
        <v>0</v>
      </c>
      <c r="AX432" s="283">
        <v>0</v>
      </c>
      <c r="AY432" s="283">
        <v>0</v>
      </c>
      <c r="AZ432" s="283">
        <v>0</v>
      </c>
      <c r="BA432" s="283">
        <v>0</v>
      </c>
      <c r="BB432" s="283">
        <v>0</v>
      </c>
      <c r="BC432" s="283">
        <v>0</v>
      </c>
      <c r="BD432" s="283">
        <v>0</v>
      </c>
      <c r="BE432" s="283">
        <v>0</v>
      </c>
      <c r="BF432" s="283">
        <v>0</v>
      </c>
      <c r="BG432" s="283">
        <v>0</v>
      </c>
      <c r="BH432" s="413"/>
      <c r="BI432" s="413"/>
      <c r="BJ432" s="429"/>
      <c r="BK432" s="414"/>
      <c r="BL432" s="411"/>
      <c r="BM432" s="430"/>
    </row>
    <row r="433" spans="1:243" s="252" customFormat="1" ht="19.5" customHeight="1" x14ac:dyDescent="0.25">
      <c r="A433" s="416"/>
      <c r="B433" s="289" t="s">
        <v>34</v>
      </c>
      <c r="C433" s="413"/>
      <c r="D433" s="290" t="s">
        <v>34</v>
      </c>
      <c r="E433" s="291">
        <f t="shared" si="125"/>
        <v>2.12</v>
      </c>
      <c r="F433" s="291"/>
      <c r="G433" s="299">
        <f>SUM(H433:BG433)-M433-Q433-U433</f>
        <v>2.12</v>
      </c>
      <c r="H433" s="293">
        <v>0.52</v>
      </c>
      <c r="I433" s="293">
        <v>0.4</v>
      </c>
      <c r="J433" s="293"/>
      <c r="K433" s="293">
        <v>0.6</v>
      </c>
      <c r="L433" s="293">
        <v>0.3</v>
      </c>
      <c r="M433" s="293"/>
      <c r="N433" s="293"/>
      <c r="O433" s="293"/>
      <c r="P433" s="293"/>
      <c r="Q433" s="293"/>
      <c r="R433" s="293"/>
      <c r="S433" s="293"/>
      <c r="T433" s="293"/>
      <c r="U433" s="286"/>
      <c r="V433" s="293"/>
      <c r="W433" s="293"/>
      <c r="X433" s="293"/>
      <c r="Y433" s="293"/>
      <c r="Z433" s="293"/>
      <c r="AA433" s="293"/>
      <c r="AB433" s="293"/>
      <c r="AC433" s="293"/>
      <c r="AD433" s="293"/>
      <c r="AE433" s="293"/>
      <c r="AF433" s="293">
        <v>0.3</v>
      </c>
      <c r="AG433" s="293"/>
      <c r="AH433" s="293"/>
      <c r="AI433" s="293"/>
      <c r="AJ433" s="293"/>
      <c r="AK433" s="293"/>
      <c r="AL433" s="293"/>
      <c r="AM433" s="293"/>
      <c r="AN433" s="293"/>
      <c r="AO433" s="293"/>
      <c r="AP433" s="293"/>
      <c r="AQ433" s="293"/>
      <c r="AR433" s="293"/>
      <c r="AS433" s="293"/>
      <c r="AT433" s="293"/>
      <c r="AU433" s="293"/>
      <c r="AV433" s="293"/>
      <c r="AW433" s="293"/>
      <c r="AX433" s="293"/>
      <c r="AY433" s="293"/>
      <c r="AZ433" s="293"/>
      <c r="BA433" s="293"/>
      <c r="BB433" s="293"/>
      <c r="BC433" s="293"/>
      <c r="BD433" s="293"/>
      <c r="BE433" s="293"/>
      <c r="BF433" s="293"/>
      <c r="BG433" s="293"/>
      <c r="BH433" s="413"/>
      <c r="BI433" s="413"/>
      <c r="BJ433" s="429"/>
      <c r="BK433" s="414"/>
      <c r="BL433" s="411"/>
      <c r="BM433" s="430"/>
      <c r="BN433" s="255"/>
      <c r="BO433" s="255"/>
      <c r="BP433" s="255"/>
      <c r="BQ433" s="255"/>
      <c r="BR433" s="255"/>
      <c r="BS433" s="255"/>
      <c r="BT433" s="255"/>
      <c r="BU433" s="255"/>
      <c r="BV433" s="255"/>
      <c r="BW433" s="255"/>
      <c r="BX433" s="255"/>
      <c r="BY433" s="255"/>
      <c r="BZ433" s="255"/>
      <c r="CA433" s="255"/>
      <c r="CB433" s="255"/>
      <c r="CC433" s="255"/>
      <c r="CD433" s="255"/>
      <c r="CE433" s="255"/>
      <c r="CF433" s="255"/>
      <c r="CG433" s="255"/>
      <c r="CH433" s="255"/>
      <c r="CI433" s="255"/>
      <c r="CJ433" s="255"/>
      <c r="CK433" s="255"/>
      <c r="CL433" s="255"/>
      <c r="CM433" s="255"/>
      <c r="CN433" s="255"/>
      <c r="CO433" s="255"/>
      <c r="CP433" s="255"/>
      <c r="CQ433" s="255"/>
      <c r="CR433" s="255"/>
      <c r="CS433" s="255"/>
      <c r="CT433" s="255"/>
      <c r="CU433" s="255"/>
      <c r="CV433" s="255"/>
      <c r="CW433" s="255"/>
      <c r="CX433" s="255"/>
      <c r="CY433" s="255"/>
      <c r="CZ433" s="255"/>
      <c r="DA433" s="255"/>
      <c r="DB433" s="255"/>
      <c r="DC433" s="255"/>
      <c r="DD433" s="255"/>
      <c r="DE433" s="255"/>
      <c r="DF433" s="255"/>
      <c r="DG433" s="255"/>
      <c r="DH433" s="255"/>
      <c r="DI433" s="255"/>
      <c r="DJ433" s="255"/>
      <c r="DK433" s="255"/>
      <c r="DL433" s="255"/>
      <c r="DM433" s="255"/>
      <c r="DN433" s="255"/>
      <c r="DO433" s="255"/>
      <c r="DP433" s="255"/>
      <c r="DQ433" s="255"/>
      <c r="DR433" s="255"/>
      <c r="DS433" s="255"/>
      <c r="DT433" s="255"/>
      <c r="DU433" s="255"/>
      <c r="DV433" s="255"/>
      <c r="DW433" s="255"/>
      <c r="DX433" s="255"/>
      <c r="DY433" s="255"/>
      <c r="DZ433" s="255"/>
      <c r="EA433" s="255"/>
      <c r="EB433" s="255"/>
      <c r="EC433" s="255"/>
      <c r="ED433" s="255"/>
      <c r="EE433" s="255"/>
      <c r="EF433" s="255"/>
      <c r="EG433" s="255"/>
      <c r="EH433" s="255"/>
      <c r="EI433" s="255"/>
      <c r="EJ433" s="255"/>
      <c r="EK433" s="255"/>
      <c r="EL433" s="255"/>
      <c r="EM433" s="255"/>
      <c r="EN433" s="255"/>
      <c r="EO433" s="255"/>
      <c r="EP433" s="255"/>
      <c r="EQ433" s="255"/>
      <c r="ER433" s="255"/>
      <c r="ES433" s="255"/>
      <c r="ET433" s="255"/>
      <c r="EU433" s="255"/>
      <c r="EV433" s="255"/>
      <c r="EW433" s="255"/>
      <c r="EX433" s="255"/>
      <c r="EY433" s="255"/>
      <c r="EZ433" s="255"/>
      <c r="FA433" s="255"/>
      <c r="FB433" s="255"/>
      <c r="FC433" s="255"/>
      <c r="FD433" s="255"/>
      <c r="FE433" s="255"/>
      <c r="FF433" s="255"/>
      <c r="FG433" s="255"/>
      <c r="FH433" s="255"/>
      <c r="FI433" s="255"/>
      <c r="FJ433" s="255"/>
      <c r="FK433" s="255"/>
      <c r="FL433" s="255"/>
      <c r="FM433" s="255"/>
      <c r="FN433" s="255"/>
      <c r="FO433" s="255"/>
      <c r="FP433" s="255"/>
      <c r="FQ433" s="255"/>
      <c r="FR433" s="255"/>
      <c r="FS433" s="255"/>
      <c r="FT433" s="255"/>
      <c r="FU433" s="255"/>
      <c r="FV433" s="255"/>
      <c r="FW433" s="255"/>
      <c r="FX433" s="255"/>
      <c r="FY433" s="255"/>
      <c r="FZ433" s="255"/>
      <c r="GA433" s="255"/>
      <c r="GB433" s="255"/>
      <c r="GC433" s="255"/>
      <c r="GD433" s="255"/>
      <c r="GE433" s="255"/>
      <c r="GF433" s="255"/>
      <c r="GG433" s="255"/>
      <c r="GH433" s="255"/>
      <c r="GI433" s="255"/>
      <c r="GJ433" s="255"/>
      <c r="GK433" s="255"/>
      <c r="GL433" s="255"/>
      <c r="GM433" s="255"/>
      <c r="GN433" s="255"/>
      <c r="GO433" s="255"/>
      <c r="GP433" s="255"/>
      <c r="GQ433" s="255"/>
      <c r="GR433" s="255"/>
      <c r="GS433" s="255"/>
      <c r="GT433" s="255"/>
      <c r="GU433" s="255"/>
      <c r="GV433" s="255"/>
      <c r="GW433" s="255"/>
      <c r="GX433" s="255"/>
      <c r="GY433" s="255"/>
      <c r="GZ433" s="255"/>
      <c r="HA433" s="255"/>
      <c r="HB433" s="255"/>
      <c r="HC433" s="255"/>
      <c r="HD433" s="255"/>
      <c r="HE433" s="255"/>
      <c r="HF433" s="255"/>
      <c r="HG433" s="255"/>
      <c r="HH433" s="255"/>
      <c r="HI433" s="255"/>
      <c r="HJ433" s="255"/>
      <c r="HK433" s="255"/>
      <c r="HL433" s="255"/>
      <c r="HM433" s="255"/>
      <c r="HN433" s="255"/>
      <c r="HO433" s="255"/>
      <c r="HP433" s="255"/>
      <c r="HQ433" s="255"/>
      <c r="HR433" s="255"/>
      <c r="HS433" s="255"/>
      <c r="HT433" s="255"/>
      <c r="HU433" s="255"/>
      <c r="HV433" s="255"/>
      <c r="HW433" s="255"/>
      <c r="HX433" s="255"/>
      <c r="HY433" s="255"/>
      <c r="HZ433" s="255"/>
      <c r="IA433" s="255"/>
      <c r="IB433" s="255"/>
      <c r="IC433" s="255"/>
      <c r="ID433" s="255"/>
      <c r="IE433" s="255"/>
      <c r="IF433" s="255"/>
      <c r="IG433" s="255"/>
      <c r="IH433" s="255"/>
      <c r="II433" s="255"/>
    </row>
    <row r="434" spans="1:243" s="252" customFormat="1" ht="31.5" x14ac:dyDescent="0.25">
      <c r="A434" s="431">
        <f>A431+1</f>
        <v>257</v>
      </c>
      <c r="B434" s="280" t="s">
        <v>855</v>
      </c>
      <c r="C434" s="413" t="s">
        <v>138</v>
      </c>
      <c r="D434" s="264"/>
      <c r="E434" s="265">
        <f t="shared" si="125"/>
        <v>5</v>
      </c>
      <c r="F434" s="267"/>
      <c r="G434" s="267">
        <f>SUM(H434:M434,Q434,U434,Y434:BG434)</f>
        <v>5</v>
      </c>
      <c r="H434" s="283"/>
      <c r="I434" s="281">
        <v>0.8</v>
      </c>
      <c r="J434" s="283"/>
      <c r="K434" s="282">
        <v>4.1500000000000004</v>
      </c>
      <c r="L434" s="281"/>
      <c r="M434" s="283"/>
      <c r="N434" s="283"/>
      <c r="O434" s="283"/>
      <c r="P434" s="283"/>
      <c r="Q434" s="283"/>
      <c r="R434" s="283"/>
      <c r="S434" s="283"/>
      <c r="T434" s="283"/>
      <c r="U434" s="283"/>
      <c r="V434" s="284"/>
      <c r="W434" s="283"/>
      <c r="X434" s="283"/>
      <c r="Y434" s="283"/>
      <c r="Z434" s="283"/>
      <c r="AA434" s="283"/>
      <c r="AB434" s="283"/>
      <c r="AC434" s="283"/>
      <c r="AD434" s="283"/>
      <c r="AE434" s="283"/>
      <c r="AF434" s="283"/>
      <c r="AG434" s="283"/>
      <c r="AH434" s="283"/>
      <c r="AI434" s="283"/>
      <c r="AJ434" s="283"/>
      <c r="AK434" s="283"/>
      <c r="AL434" s="283"/>
      <c r="AM434" s="283"/>
      <c r="AN434" s="283"/>
      <c r="AO434" s="283"/>
      <c r="AP434" s="283"/>
      <c r="AQ434" s="283"/>
      <c r="AR434" s="283"/>
      <c r="AS434" s="283"/>
      <c r="AT434" s="283">
        <v>0.05</v>
      </c>
      <c r="AU434" s="283"/>
      <c r="AV434" s="283"/>
      <c r="AW434" s="283"/>
      <c r="AX434" s="283"/>
      <c r="AY434" s="283"/>
      <c r="AZ434" s="283"/>
      <c r="BA434" s="283"/>
      <c r="BB434" s="283"/>
      <c r="BC434" s="283"/>
      <c r="BD434" s="283"/>
      <c r="BE434" s="283"/>
      <c r="BF434" s="283"/>
      <c r="BG434" s="283"/>
      <c r="BH434" s="413" t="s">
        <v>258</v>
      </c>
      <c r="BI434" s="413" t="s">
        <v>138</v>
      </c>
      <c r="BJ434" s="429" t="s">
        <v>856</v>
      </c>
      <c r="BK434" s="414" t="s">
        <v>398</v>
      </c>
      <c r="BL434" s="411" t="s">
        <v>361</v>
      </c>
      <c r="BM434" s="430" t="s">
        <v>1026</v>
      </c>
    </row>
    <row r="435" spans="1:243" s="252" customFormat="1" ht="19.5" customHeight="1" x14ac:dyDescent="0.25">
      <c r="A435" s="431"/>
      <c r="B435" s="289" t="s">
        <v>48</v>
      </c>
      <c r="C435" s="413"/>
      <c r="D435" s="290" t="s">
        <v>48</v>
      </c>
      <c r="E435" s="291">
        <f t="shared" si="125"/>
        <v>3</v>
      </c>
      <c r="F435" s="291"/>
      <c r="G435" s="292">
        <f>SUM(H435:BG435)-M435-Q435-U435</f>
        <v>3</v>
      </c>
      <c r="H435" s="283">
        <v>0</v>
      </c>
      <c r="I435" s="283">
        <f>0.56-0.1</f>
        <v>0.46000000000000008</v>
      </c>
      <c r="J435" s="283">
        <v>0</v>
      </c>
      <c r="K435" s="283">
        <f>2.94-0.4-0.05</f>
        <v>2.4900000000000002</v>
      </c>
      <c r="L435" s="283">
        <v>0</v>
      </c>
      <c r="M435" s="283">
        <v>0</v>
      </c>
      <c r="N435" s="283">
        <v>0</v>
      </c>
      <c r="O435" s="283">
        <v>0</v>
      </c>
      <c r="P435" s="283">
        <v>0</v>
      </c>
      <c r="Q435" s="283">
        <v>0</v>
      </c>
      <c r="R435" s="283">
        <v>0</v>
      </c>
      <c r="S435" s="283">
        <v>0</v>
      </c>
      <c r="T435" s="283">
        <v>0</v>
      </c>
      <c r="U435" s="283">
        <v>0</v>
      </c>
      <c r="V435" s="283">
        <v>0</v>
      </c>
      <c r="W435" s="283">
        <v>0</v>
      </c>
      <c r="X435" s="283">
        <v>0</v>
      </c>
      <c r="Y435" s="283">
        <v>0</v>
      </c>
      <c r="Z435" s="283">
        <v>0</v>
      </c>
      <c r="AA435" s="283">
        <v>0</v>
      </c>
      <c r="AB435" s="283">
        <v>0</v>
      </c>
      <c r="AC435" s="283">
        <v>0</v>
      </c>
      <c r="AD435" s="283">
        <v>0</v>
      </c>
      <c r="AE435" s="283">
        <v>0</v>
      </c>
      <c r="AF435" s="283">
        <v>0</v>
      </c>
      <c r="AG435" s="283">
        <v>0</v>
      </c>
      <c r="AH435" s="283">
        <v>0</v>
      </c>
      <c r="AI435" s="283">
        <v>0</v>
      </c>
      <c r="AJ435" s="283">
        <v>0</v>
      </c>
      <c r="AK435" s="283">
        <v>0</v>
      </c>
      <c r="AL435" s="283">
        <v>0</v>
      </c>
      <c r="AM435" s="283">
        <v>0</v>
      </c>
      <c r="AN435" s="283">
        <v>0</v>
      </c>
      <c r="AO435" s="283">
        <v>0</v>
      </c>
      <c r="AP435" s="283">
        <v>0</v>
      </c>
      <c r="AQ435" s="283">
        <v>0</v>
      </c>
      <c r="AR435" s="283">
        <v>0</v>
      </c>
      <c r="AS435" s="283">
        <v>0</v>
      </c>
      <c r="AT435" s="283">
        <v>0.05</v>
      </c>
      <c r="AU435" s="283">
        <v>0</v>
      </c>
      <c r="AV435" s="283">
        <v>0</v>
      </c>
      <c r="AW435" s="283">
        <v>0</v>
      </c>
      <c r="AX435" s="283">
        <v>0</v>
      </c>
      <c r="AY435" s="283">
        <v>0</v>
      </c>
      <c r="AZ435" s="283">
        <v>0</v>
      </c>
      <c r="BA435" s="283">
        <v>0</v>
      </c>
      <c r="BB435" s="283">
        <v>0</v>
      </c>
      <c r="BC435" s="283">
        <v>0</v>
      </c>
      <c r="BD435" s="283">
        <v>0</v>
      </c>
      <c r="BE435" s="283">
        <v>0</v>
      </c>
      <c r="BF435" s="283">
        <v>0</v>
      </c>
      <c r="BG435" s="283">
        <v>0</v>
      </c>
      <c r="BH435" s="413"/>
      <c r="BI435" s="413"/>
      <c r="BJ435" s="429"/>
      <c r="BK435" s="414"/>
      <c r="BL435" s="411"/>
      <c r="BM435" s="430"/>
    </row>
    <row r="436" spans="1:243" s="252" customFormat="1" ht="19.5" customHeight="1" x14ac:dyDescent="0.25">
      <c r="A436" s="431"/>
      <c r="B436" s="289" t="s">
        <v>34</v>
      </c>
      <c r="C436" s="413"/>
      <c r="D436" s="290" t="s">
        <v>34</v>
      </c>
      <c r="E436" s="291">
        <f t="shared" si="125"/>
        <v>2</v>
      </c>
      <c r="F436" s="291"/>
      <c r="G436" s="292">
        <f>SUM(H436:BG436)-M436-Q436-U436</f>
        <v>2</v>
      </c>
      <c r="H436" s="293"/>
      <c r="I436" s="293">
        <f>0.24+0.1</f>
        <v>0.33999999999999997</v>
      </c>
      <c r="J436" s="293"/>
      <c r="K436" s="293">
        <f>1.26+0.4</f>
        <v>1.6600000000000001</v>
      </c>
      <c r="L436" s="293"/>
      <c r="M436" s="293"/>
      <c r="N436" s="293"/>
      <c r="O436" s="293"/>
      <c r="P436" s="293"/>
      <c r="Q436" s="293"/>
      <c r="R436" s="293"/>
      <c r="S436" s="293"/>
      <c r="T436" s="293"/>
      <c r="U436" s="286"/>
      <c r="V436" s="293"/>
      <c r="W436" s="293"/>
      <c r="X436" s="293"/>
      <c r="Y436" s="293"/>
      <c r="Z436" s="293"/>
      <c r="AA436" s="293"/>
      <c r="AB436" s="293"/>
      <c r="AC436" s="293"/>
      <c r="AD436" s="293"/>
      <c r="AE436" s="293"/>
      <c r="AF436" s="293"/>
      <c r="AG436" s="293"/>
      <c r="AH436" s="293"/>
      <c r="AI436" s="293"/>
      <c r="AJ436" s="293"/>
      <c r="AK436" s="293"/>
      <c r="AL436" s="293"/>
      <c r="AM436" s="293"/>
      <c r="AN436" s="293"/>
      <c r="AO436" s="293"/>
      <c r="AP436" s="293"/>
      <c r="AQ436" s="293"/>
      <c r="AR436" s="293"/>
      <c r="AS436" s="293"/>
      <c r="AT436" s="293"/>
      <c r="AU436" s="293"/>
      <c r="AV436" s="293"/>
      <c r="AW436" s="293"/>
      <c r="AX436" s="293"/>
      <c r="AY436" s="293"/>
      <c r="AZ436" s="293"/>
      <c r="BA436" s="293"/>
      <c r="BB436" s="293"/>
      <c r="BC436" s="293"/>
      <c r="BD436" s="293"/>
      <c r="BE436" s="293"/>
      <c r="BF436" s="293"/>
      <c r="BG436" s="293"/>
      <c r="BH436" s="413"/>
      <c r="BI436" s="413"/>
      <c r="BJ436" s="429"/>
      <c r="BK436" s="414"/>
      <c r="BL436" s="411"/>
      <c r="BM436" s="430"/>
      <c r="BN436" s="255"/>
      <c r="BO436" s="255"/>
      <c r="BP436" s="255"/>
      <c r="BQ436" s="255"/>
      <c r="BR436" s="255"/>
      <c r="BS436" s="255"/>
      <c r="BT436" s="255"/>
      <c r="BU436" s="255"/>
      <c r="BV436" s="255"/>
      <c r="BW436" s="255"/>
      <c r="BX436" s="255"/>
      <c r="BY436" s="255"/>
      <c r="BZ436" s="255"/>
      <c r="CA436" s="255"/>
      <c r="CB436" s="255"/>
      <c r="CC436" s="255"/>
      <c r="CD436" s="255"/>
      <c r="CE436" s="255"/>
      <c r="CF436" s="255"/>
      <c r="CG436" s="255"/>
      <c r="CH436" s="255"/>
      <c r="CI436" s="255"/>
      <c r="CJ436" s="255"/>
      <c r="CK436" s="255"/>
      <c r="CL436" s="255"/>
      <c r="CM436" s="255"/>
      <c r="CN436" s="255"/>
      <c r="CO436" s="255"/>
      <c r="CP436" s="255"/>
      <c r="CQ436" s="255"/>
      <c r="CR436" s="255"/>
      <c r="CS436" s="255"/>
      <c r="CT436" s="255"/>
      <c r="CU436" s="255"/>
      <c r="CV436" s="255"/>
      <c r="CW436" s="255"/>
      <c r="CX436" s="255"/>
      <c r="CY436" s="255"/>
      <c r="CZ436" s="255"/>
      <c r="DA436" s="255"/>
      <c r="DB436" s="255"/>
      <c r="DC436" s="255"/>
      <c r="DD436" s="255"/>
      <c r="DE436" s="255"/>
      <c r="DF436" s="255"/>
      <c r="DG436" s="255"/>
      <c r="DH436" s="255"/>
      <c r="DI436" s="255"/>
      <c r="DJ436" s="255"/>
      <c r="DK436" s="255"/>
      <c r="DL436" s="255"/>
      <c r="DM436" s="255"/>
      <c r="DN436" s="255"/>
      <c r="DO436" s="255"/>
      <c r="DP436" s="255"/>
      <c r="DQ436" s="255"/>
      <c r="DR436" s="255"/>
      <c r="DS436" s="255"/>
      <c r="DT436" s="255"/>
      <c r="DU436" s="255"/>
      <c r="DV436" s="255"/>
      <c r="DW436" s="255"/>
      <c r="DX436" s="255"/>
      <c r="DY436" s="255"/>
      <c r="DZ436" s="255"/>
      <c r="EA436" s="255"/>
      <c r="EB436" s="255"/>
      <c r="EC436" s="255"/>
      <c r="ED436" s="255"/>
      <c r="EE436" s="255"/>
      <c r="EF436" s="255"/>
      <c r="EG436" s="255"/>
      <c r="EH436" s="255"/>
      <c r="EI436" s="255"/>
      <c r="EJ436" s="255"/>
      <c r="EK436" s="255"/>
      <c r="EL436" s="255"/>
      <c r="EM436" s="255"/>
      <c r="EN436" s="255"/>
      <c r="EO436" s="255"/>
      <c r="EP436" s="255"/>
      <c r="EQ436" s="255"/>
      <c r="ER436" s="255"/>
      <c r="ES436" s="255"/>
      <c r="ET436" s="255"/>
      <c r="EU436" s="255"/>
      <c r="EV436" s="255"/>
      <c r="EW436" s="255"/>
      <c r="EX436" s="255"/>
      <c r="EY436" s="255"/>
      <c r="EZ436" s="255"/>
      <c r="FA436" s="255"/>
      <c r="FB436" s="255"/>
      <c r="FC436" s="255"/>
      <c r="FD436" s="255"/>
      <c r="FE436" s="255"/>
      <c r="FF436" s="255"/>
      <c r="FG436" s="255"/>
      <c r="FH436" s="255"/>
      <c r="FI436" s="255"/>
      <c r="FJ436" s="255"/>
      <c r="FK436" s="255"/>
      <c r="FL436" s="255"/>
      <c r="FM436" s="255"/>
      <c r="FN436" s="255"/>
      <c r="FO436" s="255"/>
      <c r="FP436" s="255"/>
      <c r="FQ436" s="255"/>
      <c r="FR436" s="255"/>
      <c r="FS436" s="255"/>
      <c r="FT436" s="255"/>
      <c r="FU436" s="255"/>
      <c r="FV436" s="255"/>
      <c r="FW436" s="255"/>
      <c r="FX436" s="255"/>
      <c r="FY436" s="255"/>
      <c r="FZ436" s="255"/>
      <c r="GA436" s="255"/>
      <c r="GB436" s="255"/>
      <c r="GC436" s="255"/>
      <c r="GD436" s="255"/>
      <c r="GE436" s="255"/>
      <c r="GF436" s="255"/>
      <c r="GG436" s="255"/>
      <c r="GH436" s="255"/>
      <c r="GI436" s="255"/>
      <c r="GJ436" s="255"/>
      <c r="GK436" s="255"/>
      <c r="GL436" s="255"/>
      <c r="GM436" s="255"/>
      <c r="GN436" s="255"/>
      <c r="GO436" s="255"/>
      <c r="GP436" s="255"/>
      <c r="GQ436" s="255"/>
      <c r="GR436" s="255"/>
      <c r="GS436" s="255"/>
      <c r="GT436" s="255"/>
      <c r="GU436" s="255"/>
      <c r="GV436" s="255"/>
      <c r="GW436" s="255"/>
      <c r="GX436" s="255"/>
      <c r="GY436" s="255"/>
      <c r="GZ436" s="255"/>
      <c r="HA436" s="255"/>
      <c r="HB436" s="255"/>
      <c r="HC436" s="255"/>
      <c r="HD436" s="255"/>
      <c r="HE436" s="255"/>
      <c r="HF436" s="255"/>
      <c r="HG436" s="255"/>
      <c r="HH436" s="255"/>
      <c r="HI436" s="255"/>
      <c r="HJ436" s="255"/>
      <c r="HK436" s="255"/>
      <c r="HL436" s="255"/>
      <c r="HM436" s="255"/>
      <c r="HN436" s="255"/>
      <c r="HO436" s="255"/>
      <c r="HP436" s="255"/>
      <c r="HQ436" s="255"/>
      <c r="HR436" s="255"/>
      <c r="HS436" s="255"/>
      <c r="HT436" s="255"/>
      <c r="HU436" s="255"/>
      <c r="HV436" s="255"/>
      <c r="HW436" s="255"/>
      <c r="HX436" s="255"/>
      <c r="HY436" s="255"/>
      <c r="HZ436" s="255"/>
      <c r="IA436" s="255"/>
      <c r="IB436" s="255"/>
      <c r="IC436" s="255"/>
      <c r="ID436" s="255"/>
      <c r="IE436" s="255"/>
      <c r="IF436" s="255"/>
      <c r="IG436" s="255"/>
      <c r="IH436" s="255"/>
      <c r="II436" s="255"/>
    </row>
    <row r="437" spans="1:243" s="252" customFormat="1" ht="31.5" x14ac:dyDescent="0.25">
      <c r="A437" s="412">
        <f>A434+1</f>
        <v>258</v>
      </c>
      <c r="B437" s="280" t="s">
        <v>857</v>
      </c>
      <c r="C437" s="413" t="s">
        <v>142</v>
      </c>
      <c r="D437" s="264"/>
      <c r="E437" s="265">
        <f t="shared" si="125"/>
        <v>5</v>
      </c>
      <c r="F437" s="267"/>
      <c r="G437" s="267">
        <f>SUM(H437:M437,Q437,U437,Y437:BG437)</f>
        <v>5</v>
      </c>
      <c r="H437" s="283">
        <v>0.6</v>
      </c>
      <c r="I437" s="281"/>
      <c r="J437" s="283"/>
      <c r="K437" s="282">
        <v>0.8</v>
      </c>
      <c r="L437" s="281">
        <v>0.96</v>
      </c>
      <c r="M437" s="283">
        <f>SUM(N437:P437)</f>
        <v>0</v>
      </c>
      <c r="N437" s="283"/>
      <c r="O437" s="283"/>
      <c r="P437" s="283"/>
      <c r="Q437" s="283">
        <f>R437+S437+T437</f>
        <v>0</v>
      </c>
      <c r="R437" s="283"/>
      <c r="S437" s="283"/>
      <c r="T437" s="283"/>
      <c r="U437" s="283">
        <f>SUM(V437:X437)</f>
        <v>2.6</v>
      </c>
      <c r="V437" s="284">
        <v>2.6</v>
      </c>
      <c r="W437" s="283"/>
      <c r="X437" s="283"/>
      <c r="Y437" s="283"/>
      <c r="Z437" s="283"/>
      <c r="AA437" s="283"/>
      <c r="AB437" s="283"/>
      <c r="AC437" s="283"/>
      <c r="AD437" s="283"/>
      <c r="AE437" s="283"/>
      <c r="AF437" s="283"/>
      <c r="AG437" s="283"/>
      <c r="AH437" s="283"/>
      <c r="AI437" s="283"/>
      <c r="AJ437" s="283"/>
      <c r="AK437" s="283"/>
      <c r="AL437" s="283"/>
      <c r="AM437" s="283"/>
      <c r="AN437" s="283"/>
      <c r="AO437" s="283"/>
      <c r="AP437" s="283"/>
      <c r="AQ437" s="283"/>
      <c r="AR437" s="283"/>
      <c r="AS437" s="283"/>
      <c r="AT437" s="283"/>
      <c r="AU437" s="283"/>
      <c r="AV437" s="283"/>
      <c r="AW437" s="283"/>
      <c r="AX437" s="283"/>
      <c r="AY437" s="283"/>
      <c r="AZ437" s="283"/>
      <c r="BA437" s="283"/>
      <c r="BB437" s="283"/>
      <c r="BC437" s="283"/>
      <c r="BD437" s="283"/>
      <c r="BE437" s="283"/>
      <c r="BF437" s="283"/>
      <c r="BG437" s="283">
        <v>0.04</v>
      </c>
      <c r="BH437" s="413" t="s">
        <v>858</v>
      </c>
      <c r="BI437" s="413" t="s">
        <v>142</v>
      </c>
      <c r="BJ437" s="413" t="s">
        <v>859</v>
      </c>
      <c r="BK437" s="414" t="s">
        <v>398</v>
      </c>
      <c r="BL437" s="411" t="s">
        <v>361</v>
      </c>
      <c r="BM437" s="430" t="s">
        <v>1026</v>
      </c>
    </row>
    <row r="438" spans="1:243" s="252" customFormat="1" ht="21" customHeight="1" x14ac:dyDescent="0.25">
      <c r="A438" s="412"/>
      <c r="B438" s="289" t="s">
        <v>48</v>
      </c>
      <c r="C438" s="413"/>
      <c r="D438" s="290" t="s">
        <v>48</v>
      </c>
      <c r="E438" s="291">
        <f t="shared" si="125"/>
        <v>3.5</v>
      </c>
      <c r="F438" s="291"/>
      <c r="G438" s="292">
        <f t="shared" ref="G438:G443" si="138">SUM(H438:BG438)-M438-Q438-U438</f>
        <v>3.5</v>
      </c>
      <c r="H438" s="283">
        <v>0.42</v>
      </c>
      <c r="I438" s="283">
        <v>0</v>
      </c>
      <c r="J438" s="283">
        <v>0</v>
      </c>
      <c r="K438" s="283">
        <v>0.56000000000000005</v>
      </c>
      <c r="L438" s="283">
        <v>0.66</v>
      </c>
      <c r="M438" s="283">
        <v>0</v>
      </c>
      <c r="N438" s="283">
        <v>0</v>
      </c>
      <c r="O438" s="283">
        <v>0</v>
      </c>
      <c r="P438" s="283">
        <v>0</v>
      </c>
      <c r="Q438" s="283">
        <v>0</v>
      </c>
      <c r="R438" s="283">
        <v>0</v>
      </c>
      <c r="S438" s="283">
        <v>0</v>
      </c>
      <c r="T438" s="283">
        <v>0</v>
      </c>
      <c r="U438" s="283">
        <v>1.82</v>
      </c>
      <c r="V438" s="283">
        <v>1.82</v>
      </c>
      <c r="W438" s="283">
        <v>0</v>
      </c>
      <c r="X438" s="283">
        <v>0</v>
      </c>
      <c r="Y438" s="283">
        <v>0</v>
      </c>
      <c r="Z438" s="283">
        <v>0</v>
      </c>
      <c r="AA438" s="283">
        <v>0</v>
      </c>
      <c r="AB438" s="283">
        <v>0</v>
      </c>
      <c r="AC438" s="283">
        <v>0</v>
      </c>
      <c r="AD438" s="283">
        <v>0</v>
      </c>
      <c r="AE438" s="283">
        <v>0</v>
      </c>
      <c r="AF438" s="283">
        <v>0</v>
      </c>
      <c r="AG438" s="283">
        <v>0</v>
      </c>
      <c r="AH438" s="283">
        <v>0</v>
      </c>
      <c r="AI438" s="283">
        <v>0</v>
      </c>
      <c r="AJ438" s="283">
        <v>0</v>
      </c>
      <c r="AK438" s="283">
        <v>0</v>
      </c>
      <c r="AL438" s="283">
        <v>0</v>
      </c>
      <c r="AM438" s="283">
        <v>0</v>
      </c>
      <c r="AN438" s="283">
        <v>0</v>
      </c>
      <c r="AO438" s="283">
        <v>0</v>
      </c>
      <c r="AP438" s="283">
        <v>0</v>
      </c>
      <c r="AQ438" s="283">
        <v>0</v>
      </c>
      <c r="AR438" s="283">
        <v>0</v>
      </c>
      <c r="AS438" s="283">
        <v>0</v>
      </c>
      <c r="AT438" s="283">
        <v>0</v>
      </c>
      <c r="AU438" s="283">
        <v>0</v>
      </c>
      <c r="AV438" s="283">
        <v>0</v>
      </c>
      <c r="AW438" s="283">
        <v>0</v>
      </c>
      <c r="AX438" s="283">
        <v>0</v>
      </c>
      <c r="AY438" s="283">
        <v>0</v>
      </c>
      <c r="AZ438" s="283">
        <v>0</v>
      </c>
      <c r="BA438" s="283">
        <v>0</v>
      </c>
      <c r="BB438" s="283">
        <v>0</v>
      </c>
      <c r="BC438" s="283">
        <v>0</v>
      </c>
      <c r="BD438" s="283">
        <v>0</v>
      </c>
      <c r="BE438" s="283">
        <v>0</v>
      </c>
      <c r="BF438" s="283">
        <v>0</v>
      </c>
      <c r="BG438" s="283">
        <v>0.04</v>
      </c>
      <c r="BH438" s="413"/>
      <c r="BI438" s="413"/>
      <c r="BJ438" s="413"/>
      <c r="BK438" s="414"/>
      <c r="BL438" s="411"/>
      <c r="BM438" s="430"/>
    </row>
    <row r="439" spans="1:243" s="252" customFormat="1" ht="21" customHeight="1" x14ac:dyDescent="0.25">
      <c r="A439" s="412"/>
      <c r="B439" s="289" t="s">
        <v>34</v>
      </c>
      <c r="C439" s="413"/>
      <c r="D439" s="290" t="s">
        <v>34</v>
      </c>
      <c r="E439" s="291">
        <f t="shared" si="125"/>
        <v>1.5000000000000002</v>
      </c>
      <c r="F439" s="291"/>
      <c r="G439" s="292">
        <f t="shared" si="138"/>
        <v>1.5000000000000002</v>
      </c>
      <c r="H439" s="293">
        <v>0.18</v>
      </c>
      <c r="I439" s="293"/>
      <c r="J439" s="293"/>
      <c r="K439" s="293">
        <v>0.24</v>
      </c>
      <c r="L439" s="293">
        <v>0.3</v>
      </c>
      <c r="M439" s="293"/>
      <c r="N439" s="293"/>
      <c r="O439" s="293"/>
      <c r="P439" s="293"/>
      <c r="Q439" s="293"/>
      <c r="R439" s="293"/>
      <c r="S439" s="293"/>
      <c r="T439" s="293"/>
      <c r="U439" s="286">
        <f>SUM(V439:X439)</f>
        <v>0.78</v>
      </c>
      <c r="V439" s="293">
        <v>0.78</v>
      </c>
      <c r="W439" s="293"/>
      <c r="X439" s="293"/>
      <c r="Y439" s="293"/>
      <c r="Z439" s="293"/>
      <c r="AA439" s="293"/>
      <c r="AB439" s="293"/>
      <c r="AC439" s="293"/>
      <c r="AD439" s="293"/>
      <c r="AE439" s="293"/>
      <c r="AF439" s="293"/>
      <c r="AG439" s="293"/>
      <c r="AH439" s="293"/>
      <c r="AI439" s="293"/>
      <c r="AJ439" s="293"/>
      <c r="AK439" s="293"/>
      <c r="AL439" s="293"/>
      <c r="AM439" s="293"/>
      <c r="AN439" s="293"/>
      <c r="AO439" s="293"/>
      <c r="AP439" s="293"/>
      <c r="AQ439" s="293"/>
      <c r="AR439" s="293"/>
      <c r="AS439" s="293"/>
      <c r="AT439" s="293"/>
      <c r="AU439" s="293"/>
      <c r="AV439" s="293"/>
      <c r="AW439" s="293"/>
      <c r="AX439" s="293"/>
      <c r="AY439" s="293"/>
      <c r="AZ439" s="293"/>
      <c r="BA439" s="293"/>
      <c r="BB439" s="293"/>
      <c r="BC439" s="293"/>
      <c r="BD439" s="293"/>
      <c r="BE439" s="293"/>
      <c r="BF439" s="293"/>
      <c r="BG439" s="293"/>
      <c r="BH439" s="413"/>
      <c r="BI439" s="413"/>
      <c r="BJ439" s="413"/>
      <c r="BK439" s="414"/>
      <c r="BL439" s="411"/>
      <c r="BM439" s="430"/>
      <c r="BN439" s="255"/>
      <c r="BO439" s="255"/>
      <c r="BP439" s="255"/>
      <c r="BQ439" s="255"/>
      <c r="BR439" s="255"/>
      <c r="BS439" s="255"/>
      <c r="BT439" s="255"/>
      <c r="BU439" s="255"/>
      <c r="BV439" s="255"/>
      <c r="BW439" s="255"/>
      <c r="BX439" s="255"/>
      <c r="BY439" s="255"/>
      <c r="BZ439" s="255"/>
      <c r="CA439" s="255"/>
      <c r="CB439" s="255"/>
      <c r="CC439" s="255"/>
      <c r="CD439" s="255"/>
      <c r="CE439" s="255"/>
      <c r="CF439" s="255"/>
      <c r="CG439" s="255"/>
      <c r="CH439" s="255"/>
      <c r="CI439" s="255"/>
      <c r="CJ439" s="255"/>
      <c r="CK439" s="255"/>
      <c r="CL439" s="255"/>
      <c r="CM439" s="255"/>
      <c r="CN439" s="255"/>
      <c r="CO439" s="255"/>
      <c r="CP439" s="255"/>
      <c r="CQ439" s="255"/>
      <c r="CR439" s="255"/>
      <c r="CS439" s="255"/>
      <c r="CT439" s="255"/>
      <c r="CU439" s="255"/>
      <c r="CV439" s="255"/>
      <c r="CW439" s="255"/>
      <c r="CX439" s="255"/>
      <c r="CY439" s="255"/>
      <c r="CZ439" s="255"/>
      <c r="DA439" s="255"/>
      <c r="DB439" s="255"/>
      <c r="DC439" s="255"/>
      <c r="DD439" s="255"/>
      <c r="DE439" s="255"/>
      <c r="DF439" s="255"/>
      <c r="DG439" s="255"/>
      <c r="DH439" s="255"/>
      <c r="DI439" s="255"/>
      <c r="DJ439" s="255"/>
      <c r="DK439" s="255"/>
      <c r="DL439" s="255"/>
      <c r="DM439" s="255"/>
      <c r="DN439" s="255"/>
      <c r="DO439" s="255"/>
      <c r="DP439" s="255"/>
      <c r="DQ439" s="255"/>
      <c r="DR439" s="255"/>
      <c r="DS439" s="255"/>
      <c r="DT439" s="255"/>
      <c r="DU439" s="255"/>
      <c r="DV439" s="255"/>
      <c r="DW439" s="255"/>
      <c r="DX439" s="255"/>
      <c r="DY439" s="255"/>
      <c r="DZ439" s="255"/>
      <c r="EA439" s="255"/>
      <c r="EB439" s="255"/>
      <c r="EC439" s="255"/>
      <c r="ED439" s="255"/>
      <c r="EE439" s="255"/>
      <c r="EF439" s="255"/>
      <c r="EG439" s="255"/>
      <c r="EH439" s="255"/>
      <c r="EI439" s="255"/>
      <c r="EJ439" s="255"/>
      <c r="EK439" s="255"/>
      <c r="EL439" s="255"/>
      <c r="EM439" s="255"/>
      <c r="EN439" s="255"/>
      <c r="EO439" s="255"/>
      <c r="EP439" s="255"/>
      <c r="EQ439" s="255"/>
      <c r="ER439" s="255"/>
      <c r="ES439" s="255"/>
      <c r="ET439" s="255"/>
      <c r="EU439" s="255"/>
      <c r="EV439" s="255"/>
      <c r="EW439" s="255"/>
      <c r="EX439" s="255"/>
      <c r="EY439" s="255"/>
      <c r="EZ439" s="255"/>
      <c r="FA439" s="255"/>
      <c r="FB439" s="255"/>
      <c r="FC439" s="255"/>
      <c r="FD439" s="255"/>
      <c r="FE439" s="255"/>
      <c r="FF439" s="255"/>
      <c r="FG439" s="255"/>
      <c r="FH439" s="255"/>
      <c r="FI439" s="255"/>
      <c r="FJ439" s="255"/>
      <c r="FK439" s="255"/>
      <c r="FL439" s="255"/>
      <c r="FM439" s="255"/>
      <c r="FN439" s="255"/>
      <c r="FO439" s="255"/>
      <c r="FP439" s="255"/>
      <c r="FQ439" s="255"/>
      <c r="FR439" s="255"/>
      <c r="FS439" s="255"/>
      <c r="FT439" s="255"/>
      <c r="FU439" s="255"/>
      <c r="FV439" s="255"/>
      <c r="FW439" s="255"/>
      <c r="FX439" s="255"/>
      <c r="FY439" s="255"/>
      <c r="FZ439" s="255"/>
      <c r="GA439" s="255"/>
      <c r="GB439" s="255"/>
      <c r="GC439" s="255"/>
      <c r="GD439" s="255"/>
      <c r="GE439" s="255"/>
      <c r="GF439" s="255"/>
      <c r="GG439" s="255"/>
      <c r="GH439" s="255"/>
      <c r="GI439" s="255"/>
      <c r="GJ439" s="255"/>
      <c r="GK439" s="255"/>
      <c r="GL439" s="255"/>
      <c r="GM439" s="255"/>
      <c r="GN439" s="255"/>
      <c r="GO439" s="255"/>
      <c r="GP439" s="255"/>
      <c r="GQ439" s="255"/>
      <c r="GR439" s="255"/>
      <c r="GS439" s="255"/>
      <c r="GT439" s="255"/>
      <c r="GU439" s="255"/>
      <c r="GV439" s="255"/>
      <c r="GW439" s="255"/>
      <c r="GX439" s="255"/>
      <c r="GY439" s="255"/>
      <c r="GZ439" s="255"/>
      <c r="HA439" s="255"/>
      <c r="HB439" s="255"/>
      <c r="HC439" s="255"/>
      <c r="HD439" s="255"/>
      <c r="HE439" s="255"/>
      <c r="HF439" s="255"/>
      <c r="HG439" s="255"/>
      <c r="HH439" s="255"/>
      <c r="HI439" s="255"/>
      <c r="HJ439" s="255"/>
      <c r="HK439" s="255"/>
      <c r="HL439" s="255"/>
      <c r="HM439" s="255"/>
      <c r="HN439" s="255"/>
      <c r="HO439" s="255"/>
      <c r="HP439" s="255"/>
      <c r="HQ439" s="255"/>
      <c r="HR439" s="255"/>
      <c r="HS439" s="255"/>
      <c r="HT439" s="255"/>
      <c r="HU439" s="255"/>
      <c r="HV439" s="255"/>
      <c r="HW439" s="255"/>
      <c r="HX439" s="255"/>
      <c r="HY439" s="255"/>
      <c r="HZ439" s="255"/>
      <c r="IA439" s="255"/>
      <c r="IB439" s="255"/>
      <c r="IC439" s="255"/>
      <c r="ID439" s="255"/>
      <c r="IE439" s="255"/>
      <c r="IF439" s="255"/>
      <c r="IG439" s="255"/>
      <c r="IH439" s="255"/>
      <c r="II439" s="255"/>
    </row>
    <row r="440" spans="1:243" s="252" customFormat="1" ht="20.25" customHeight="1" x14ac:dyDescent="0.25">
      <c r="A440" s="300" t="s">
        <v>330</v>
      </c>
      <c r="B440" s="301" t="s">
        <v>860</v>
      </c>
      <c r="C440" s="302"/>
      <c r="D440" s="290"/>
      <c r="E440" s="291">
        <f t="shared" si="125"/>
        <v>2.6700000000000004</v>
      </c>
      <c r="F440" s="291"/>
      <c r="G440" s="292">
        <f t="shared" si="138"/>
        <v>2.6700000000000004</v>
      </c>
      <c r="H440" s="293">
        <f>H441</f>
        <v>0</v>
      </c>
      <c r="I440" s="293">
        <f t="shared" ref="I440:BG440" si="139">I441</f>
        <v>0</v>
      </c>
      <c r="J440" s="293">
        <f t="shared" si="139"/>
        <v>0</v>
      </c>
      <c r="K440" s="293">
        <f t="shared" si="139"/>
        <v>0.05</v>
      </c>
      <c r="L440" s="293">
        <f t="shared" si="139"/>
        <v>0.86</v>
      </c>
      <c r="M440" s="293">
        <f t="shared" si="139"/>
        <v>0</v>
      </c>
      <c r="N440" s="293">
        <f t="shared" si="139"/>
        <v>0</v>
      </c>
      <c r="O440" s="293">
        <f t="shared" si="139"/>
        <v>0</v>
      </c>
      <c r="P440" s="293">
        <f t="shared" si="139"/>
        <v>0</v>
      </c>
      <c r="Q440" s="293">
        <f t="shared" si="139"/>
        <v>0</v>
      </c>
      <c r="R440" s="293">
        <f t="shared" si="139"/>
        <v>0</v>
      </c>
      <c r="S440" s="293">
        <f t="shared" si="139"/>
        <v>0</v>
      </c>
      <c r="T440" s="293">
        <f t="shared" si="139"/>
        <v>0</v>
      </c>
      <c r="U440" s="286">
        <f>SUM(V440:X440)</f>
        <v>1.48</v>
      </c>
      <c r="V440" s="293">
        <f t="shared" si="139"/>
        <v>1.0900000000000001</v>
      </c>
      <c r="W440" s="293">
        <f t="shared" si="139"/>
        <v>0</v>
      </c>
      <c r="X440" s="293">
        <f t="shared" si="139"/>
        <v>0.39</v>
      </c>
      <c r="Y440" s="293">
        <f t="shared" si="139"/>
        <v>0</v>
      </c>
      <c r="Z440" s="293">
        <f t="shared" si="139"/>
        <v>0</v>
      </c>
      <c r="AA440" s="293">
        <f t="shared" si="139"/>
        <v>0</v>
      </c>
      <c r="AB440" s="293">
        <f t="shared" si="139"/>
        <v>0</v>
      </c>
      <c r="AC440" s="293">
        <f t="shared" si="139"/>
        <v>0</v>
      </c>
      <c r="AD440" s="293">
        <f t="shared" si="139"/>
        <v>0</v>
      </c>
      <c r="AE440" s="293">
        <f t="shared" si="139"/>
        <v>0</v>
      </c>
      <c r="AF440" s="293">
        <f t="shared" si="139"/>
        <v>0</v>
      </c>
      <c r="AG440" s="293">
        <f t="shared" si="139"/>
        <v>0.02</v>
      </c>
      <c r="AH440" s="293">
        <f t="shared" si="139"/>
        <v>0</v>
      </c>
      <c r="AI440" s="293">
        <f t="shared" si="139"/>
        <v>0</v>
      </c>
      <c r="AJ440" s="293">
        <f t="shared" si="139"/>
        <v>0</v>
      </c>
      <c r="AK440" s="293">
        <f t="shared" si="139"/>
        <v>0</v>
      </c>
      <c r="AL440" s="293">
        <f t="shared" si="139"/>
        <v>0</v>
      </c>
      <c r="AM440" s="293">
        <f t="shared" si="139"/>
        <v>0</v>
      </c>
      <c r="AN440" s="293">
        <f t="shared" si="139"/>
        <v>0</v>
      </c>
      <c r="AO440" s="293">
        <f t="shared" si="139"/>
        <v>0</v>
      </c>
      <c r="AP440" s="293">
        <f t="shared" si="139"/>
        <v>0</v>
      </c>
      <c r="AQ440" s="293">
        <f t="shared" si="139"/>
        <v>0</v>
      </c>
      <c r="AR440" s="293">
        <f t="shared" si="139"/>
        <v>0</v>
      </c>
      <c r="AS440" s="293">
        <f t="shared" si="139"/>
        <v>0</v>
      </c>
      <c r="AT440" s="293">
        <f t="shared" si="139"/>
        <v>0.26</v>
      </c>
      <c r="AU440" s="293">
        <f t="shared" si="139"/>
        <v>0</v>
      </c>
      <c r="AV440" s="293">
        <f t="shared" si="139"/>
        <v>0</v>
      </c>
      <c r="AW440" s="293">
        <f t="shared" si="139"/>
        <v>0</v>
      </c>
      <c r="AX440" s="293">
        <f t="shared" si="139"/>
        <v>0</v>
      </c>
      <c r="AY440" s="293">
        <f t="shared" si="139"/>
        <v>0</v>
      </c>
      <c r="AZ440" s="293">
        <f t="shared" si="139"/>
        <v>0</v>
      </c>
      <c r="BA440" s="293">
        <f t="shared" si="139"/>
        <v>0</v>
      </c>
      <c r="BB440" s="293">
        <f t="shared" si="139"/>
        <v>0</v>
      </c>
      <c r="BC440" s="293">
        <f t="shared" si="139"/>
        <v>0</v>
      </c>
      <c r="BD440" s="293">
        <f t="shared" si="139"/>
        <v>0</v>
      </c>
      <c r="BE440" s="293">
        <f t="shared" si="139"/>
        <v>0</v>
      </c>
      <c r="BF440" s="293">
        <f t="shared" si="139"/>
        <v>0</v>
      </c>
      <c r="BG440" s="293">
        <f t="shared" si="139"/>
        <v>0</v>
      </c>
      <c r="BH440" s="293"/>
      <c r="BI440" s="302"/>
      <c r="BJ440" s="302"/>
      <c r="BK440" s="303"/>
      <c r="BL440" s="304"/>
      <c r="BM440" s="304"/>
      <c r="BN440" s="255"/>
      <c r="BO440" s="255"/>
      <c r="BP440" s="255"/>
      <c r="BQ440" s="255"/>
      <c r="BR440" s="255"/>
      <c r="BS440" s="255"/>
      <c r="BT440" s="255"/>
      <c r="BU440" s="255"/>
      <c r="BV440" s="255"/>
      <c r="BW440" s="255"/>
      <c r="BX440" s="255"/>
      <c r="BY440" s="255"/>
      <c r="BZ440" s="255"/>
      <c r="CA440" s="255"/>
      <c r="CB440" s="255"/>
      <c r="CC440" s="255"/>
      <c r="CD440" s="255"/>
      <c r="CE440" s="255"/>
      <c r="CF440" s="255"/>
      <c r="CG440" s="255"/>
      <c r="CH440" s="255"/>
      <c r="CI440" s="255"/>
      <c r="CJ440" s="255"/>
      <c r="CK440" s="255"/>
      <c r="CL440" s="255"/>
      <c r="CM440" s="255"/>
      <c r="CN440" s="255"/>
      <c r="CO440" s="255"/>
      <c r="CP440" s="255"/>
      <c r="CQ440" s="255"/>
      <c r="CR440" s="255"/>
      <c r="CS440" s="255"/>
      <c r="CT440" s="255"/>
      <c r="CU440" s="255"/>
      <c r="CV440" s="255"/>
      <c r="CW440" s="255"/>
      <c r="CX440" s="255"/>
      <c r="CY440" s="255"/>
      <c r="CZ440" s="255"/>
      <c r="DA440" s="255"/>
      <c r="DB440" s="255"/>
      <c r="DC440" s="255"/>
      <c r="DD440" s="255"/>
      <c r="DE440" s="255"/>
      <c r="DF440" s="255"/>
      <c r="DG440" s="255"/>
      <c r="DH440" s="255"/>
      <c r="DI440" s="255"/>
      <c r="DJ440" s="255"/>
      <c r="DK440" s="255"/>
      <c r="DL440" s="255"/>
      <c r="DM440" s="255"/>
      <c r="DN440" s="255"/>
      <c r="DO440" s="255"/>
      <c r="DP440" s="255"/>
      <c r="DQ440" s="255"/>
      <c r="DR440" s="255"/>
      <c r="DS440" s="255"/>
      <c r="DT440" s="255"/>
      <c r="DU440" s="255"/>
      <c r="DV440" s="255"/>
      <c r="DW440" s="255"/>
      <c r="DX440" s="255"/>
      <c r="DY440" s="255"/>
      <c r="DZ440" s="255"/>
      <c r="EA440" s="255"/>
      <c r="EB440" s="255"/>
      <c r="EC440" s="255"/>
      <c r="ED440" s="255"/>
      <c r="EE440" s="255"/>
      <c r="EF440" s="255"/>
      <c r="EG440" s="255"/>
      <c r="EH440" s="255"/>
      <c r="EI440" s="255"/>
      <c r="EJ440" s="255"/>
      <c r="EK440" s="255"/>
      <c r="EL440" s="255"/>
      <c r="EM440" s="255"/>
      <c r="EN440" s="255"/>
      <c r="EO440" s="255"/>
      <c r="EP440" s="255"/>
      <c r="EQ440" s="255"/>
      <c r="ER440" s="255"/>
      <c r="ES440" s="255"/>
      <c r="ET440" s="255"/>
      <c r="EU440" s="255"/>
      <c r="EV440" s="255"/>
      <c r="EW440" s="255"/>
      <c r="EX440" s="255"/>
      <c r="EY440" s="255"/>
      <c r="EZ440" s="255"/>
      <c r="FA440" s="255"/>
      <c r="FB440" s="255"/>
      <c r="FC440" s="255"/>
      <c r="FD440" s="255"/>
      <c r="FE440" s="255"/>
      <c r="FF440" s="255"/>
      <c r="FG440" s="255"/>
      <c r="FH440" s="255"/>
      <c r="FI440" s="255"/>
      <c r="FJ440" s="255"/>
      <c r="FK440" s="255"/>
      <c r="FL440" s="255"/>
      <c r="FM440" s="255"/>
      <c r="FN440" s="255"/>
      <c r="FO440" s="255"/>
      <c r="FP440" s="255"/>
      <c r="FQ440" s="255"/>
      <c r="FR440" s="255"/>
      <c r="FS440" s="255"/>
      <c r="FT440" s="255"/>
      <c r="FU440" s="255"/>
      <c r="FV440" s="255"/>
      <c r="FW440" s="255"/>
      <c r="FX440" s="255"/>
      <c r="FY440" s="255"/>
      <c r="FZ440" s="255"/>
      <c r="GA440" s="255"/>
      <c r="GB440" s="255"/>
      <c r="GC440" s="255"/>
      <c r="GD440" s="255"/>
      <c r="GE440" s="255"/>
      <c r="GF440" s="255"/>
      <c r="GG440" s="255"/>
      <c r="GH440" s="255"/>
      <c r="GI440" s="255"/>
      <c r="GJ440" s="255"/>
      <c r="GK440" s="255"/>
      <c r="GL440" s="255"/>
      <c r="GM440" s="255"/>
      <c r="GN440" s="255"/>
      <c r="GO440" s="255"/>
      <c r="GP440" s="255"/>
      <c r="GQ440" s="255"/>
      <c r="GR440" s="255"/>
      <c r="GS440" s="255"/>
      <c r="GT440" s="255"/>
      <c r="GU440" s="255"/>
      <c r="GV440" s="255"/>
      <c r="GW440" s="255"/>
      <c r="GX440" s="255"/>
      <c r="GY440" s="255"/>
      <c r="GZ440" s="255"/>
      <c r="HA440" s="255"/>
      <c r="HB440" s="255"/>
      <c r="HC440" s="255"/>
      <c r="HD440" s="255"/>
      <c r="HE440" s="255"/>
      <c r="HF440" s="255"/>
      <c r="HG440" s="255"/>
      <c r="HH440" s="255"/>
      <c r="HI440" s="255"/>
      <c r="HJ440" s="255"/>
      <c r="HK440" s="255"/>
      <c r="HL440" s="255"/>
      <c r="HM440" s="255"/>
      <c r="HN440" s="255"/>
      <c r="HO440" s="255"/>
      <c r="HP440" s="255"/>
      <c r="HQ440" s="255"/>
      <c r="HR440" s="255"/>
      <c r="HS440" s="255"/>
      <c r="HT440" s="255"/>
      <c r="HU440" s="255"/>
      <c r="HV440" s="255"/>
      <c r="HW440" s="255"/>
      <c r="HX440" s="255"/>
      <c r="HY440" s="255"/>
      <c r="HZ440" s="255"/>
      <c r="IA440" s="255"/>
      <c r="IB440" s="255"/>
      <c r="IC440" s="255"/>
      <c r="ID440" s="255"/>
      <c r="IE440" s="255"/>
      <c r="IF440" s="255"/>
      <c r="IG440" s="255"/>
      <c r="IH440" s="255"/>
      <c r="II440" s="255"/>
    </row>
    <row r="441" spans="1:243" s="252" customFormat="1" ht="31.5" x14ac:dyDescent="0.25">
      <c r="A441" s="422">
        <f>A437+1</f>
        <v>259</v>
      </c>
      <c r="B441" s="285" t="s">
        <v>861</v>
      </c>
      <c r="C441" s="413" t="s">
        <v>82</v>
      </c>
      <c r="D441" s="264"/>
      <c r="E441" s="291">
        <f t="shared" si="125"/>
        <v>2.6700000000000004</v>
      </c>
      <c r="F441" s="291"/>
      <c r="G441" s="292">
        <f t="shared" si="138"/>
        <v>2.6700000000000004</v>
      </c>
      <c r="H441" s="283"/>
      <c r="I441" s="283"/>
      <c r="J441" s="283"/>
      <c r="K441" s="283">
        <v>0.05</v>
      </c>
      <c r="L441" s="283">
        <v>0.86</v>
      </c>
      <c r="M441" s="283"/>
      <c r="N441" s="283"/>
      <c r="O441" s="283"/>
      <c r="P441" s="283"/>
      <c r="Q441" s="283"/>
      <c r="R441" s="283"/>
      <c r="S441" s="283"/>
      <c r="T441" s="283"/>
      <c r="U441" s="286">
        <f>SUM(V441:X441)</f>
        <v>1.48</v>
      </c>
      <c r="V441" s="283">
        <v>1.0900000000000001</v>
      </c>
      <c r="W441" s="283"/>
      <c r="X441" s="283">
        <v>0.39</v>
      </c>
      <c r="Y441" s="283"/>
      <c r="Z441" s="283"/>
      <c r="AA441" s="283"/>
      <c r="AB441" s="283"/>
      <c r="AC441" s="283"/>
      <c r="AD441" s="283"/>
      <c r="AE441" s="283"/>
      <c r="AF441" s="283"/>
      <c r="AG441" s="283">
        <v>0.02</v>
      </c>
      <c r="AH441" s="283"/>
      <c r="AI441" s="283"/>
      <c r="AJ441" s="283"/>
      <c r="AK441" s="283"/>
      <c r="AL441" s="283"/>
      <c r="AM441" s="283"/>
      <c r="AN441" s="283"/>
      <c r="AO441" s="283"/>
      <c r="AP441" s="283"/>
      <c r="AQ441" s="283"/>
      <c r="AR441" s="283"/>
      <c r="AS441" s="283"/>
      <c r="AT441" s="283">
        <v>0.26</v>
      </c>
      <c r="AU441" s="283"/>
      <c r="AV441" s="283"/>
      <c r="AW441" s="283"/>
      <c r="AX441" s="283"/>
      <c r="AY441" s="283"/>
      <c r="AZ441" s="283"/>
      <c r="BA441" s="283"/>
      <c r="BB441" s="283"/>
      <c r="BC441" s="283"/>
      <c r="BD441" s="283"/>
      <c r="BE441" s="283"/>
      <c r="BF441" s="283"/>
      <c r="BG441" s="283"/>
      <c r="BH441" s="424" t="s">
        <v>417</v>
      </c>
      <c r="BI441" s="413" t="s">
        <v>82</v>
      </c>
      <c r="BJ441" s="302"/>
      <c r="BK441" s="414" t="s">
        <v>120</v>
      </c>
      <c r="BL441" s="411" t="s">
        <v>862</v>
      </c>
      <c r="BM441" s="421" t="s">
        <v>206</v>
      </c>
    </row>
    <row r="442" spans="1:243" s="252" customFormat="1" ht="18.75" customHeight="1" x14ac:dyDescent="0.25">
      <c r="A442" s="422"/>
      <c r="B442" s="289" t="s">
        <v>48</v>
      </c>
      <c r="C442" s="413"/>
      <c r="D442" s="290" t="s">
        <v>48</v>
      </c>
      <c r="E442" s="291">
        <f t="shared" si="125"/>
        <v>1.4500000000000002</v>
      </c>
      <c r="F442" s="291"/>
      <c r="G442" s="292">
        <f t="shared" si="138"/>
        <v>1.4500000000000002</v>
      </c>
      <c r="H442" s="283"/>
      <c r="I442" s="283"/>
      <c r="J442" s="283"/>
      <c r="K442" s="283">
        <v>0.03</v>
      </c>
      <c r="L442" s="283">
        <v>0.56000000000000005</v>
      </c>
      <c r="M442" s="283"/>
      <c r="N442" s="283"/>
      <c r="O442" s="283"/>
      <c r="P442" s="283"/>
      <c r="Q442" s="283"/>
      <c r="R442" s="283"/>
      <c r="S442" s="283"/>
      <c r="T442" s="283"/>
      <c r="U442" s="286">
        <f>SUM(V442:X442)</f>
        <v>0.59</v>
      </c>
      <c r="V442" s="283">
        <v>0.59</v>
      </c>
      <c r="W442" s="283"/>
      <c r="X442" s="283"/>
      <c r="Y442" s="283"/>
      <c r="Z442" s="283"/>
      <c r="AA442" s="283"/>
      <c r="AB442" s="283"/>
      <c r="AC442" s="283"/>
      <c r="AD442" s="283"/>
      <c r="AE442" s="283"/>
      <c r="AF442" s="283"/>
      <c r="AG442" s="283">
        <v>0.01</v>
      </c>
      <c r="AH442" s="283"/>
      <c r="AI442" s="283"/>
      <c r="AJ442" s="283"/>
      <c r="AK442" s="283"/>
      <c r="AL442" s="283"/>
      <c r="AM442" s="283"/>
      <c r="AN442" s="283"/>
      <c r="AO442" s="283"/>
      <c r="AP442" s="283"/>
      <c r="AQ442" s="283"/>
      <c r="AR442" s="283"/>
      <c r="AS442" s="283"/>
      <c r="AT442" s="283">
        <v>0.26</v>
      </c>
      <c r="AU442" s="283"/>
      <c r="AV442" s="283"/>
      <c r="AW442" s="283"/>
      <c r="AX442" s="283"/>
      <c r="AY442" s="283"/>
      <c r="AZ442" s="283"/>
      <c r="BA442" s="283"/>
      <c r="BB442" s="283"/>
      <c r="BC442" s="283"/>
      <c r="BD442" s="283"/>
      <c r="BE442" s="283"/>
      <c r="BF442" s="283"/>
      <c r="BG442" s="283"/>
      <c r="BH442" s="424"/>
      <c r="BI442" s="413"/>
      <c r="BJ442" s="302"/>
      <c r="BK442" s="414"/>
      <c r="BL442" s="411"/>
      <c r="BM442" s="421"/>
    </row>
    <row r="443" spans="1:243" s="252" customFormat="1" ht="18.75" customHeight="1" x14ac:dyDescent="0.25">
      <c r="A443" s="422"/>
      <c r="B443" s="289" t="s">
        <v>34</v>
      </c>
      <c r="C443" s="413"/>
      <c r="D443" s="290" t="s">
        <v>34</v>
      </c>
      <c r="E443" s="291">
        <f t="shared" si="125"/>
        <v>1.2199999999999998</v>
      </c>
      <c r="F443" s="291"/>
      <c r="G443" s="292">
        <f t="shared" si="138"/>
        <v>1.2199999999999998</v>
      </c>
      <c r="H443" s="283"/>
      <c r="I443" s="283"/>
      <c r="J443" s="283"/>
      <c r="K443" s="283">
        <v>0.02</v>
      </c>
      <c r="L443" s="283">
        <v>0.3</v>
      </c>
      <c r="M443" s="283"/>
      <c r="N443" s="283"/>
      <c r="O443" s="283"/>
      <c r="P443" s="283"/>
      <c r="Q443" s="283"/>
      <c r="R443" s="283"/>
      <c r="S443" s="283"/>
      <c r="T443" s="283"/>
      <c r="U443" s="286">
        <f>SUM(V443:X443)</f>
        <v>0.89</v>
      </c>
      <c r="V443" s="283">
        <v>0.5</v>
      </c>
      <c r="W443" s="283"/>
      <c r="X443" s="283">
        <v>0.39</v>
      </c>
      <c r="Y443" s="283"/>
      <c r="Z443" s="283"/>
      <c r="AA443" s="283"/>
      <c r="AB443" s="283"/>
      <c r="AC443" s="283"/>
      <c r="AD443" s="283"/>
      <c r="AE443" s="283"/>
      <c r="AF443" s="283"/>
      <c r="AG443" s="283">
        <v>0.01</v>
      </c>
      <c r="AH443" s="283"/>
      <c r="AI443" s="283"/>
      <c r="AJ443" s="283"/>
      <c r="AK443" s="283"/>
      <c r="AL443" s="283"/>
      <c r="AM443" s="283"/>
      <c r="AN443" s="283"/>
      <c r="AO443" s="283"/>
      <c r="AP443" s="283"/>
      <c r="AQ443" s="283"/>
      <c r="AR443" s="283"/>
      <c r="AS443" s="283"/>
      <c r="AT443" s="283"/>
      <c r="AU443" s="283"/>
      <c r="AV443" s="283"/>
      <c r="AW443" s="283"/>
      <c r="AX443" s="283"/>
      <c r="AY443" s="283"/>
      <c r="AZ443" s="283"/>
      <c r="BA443" s="283"/>
      <c r="BB443" s="283"/>
      <c r="BC443" s="283"/>
      <c r="BD443" s="283"/>
      <c r="BE443" s="283"/>
      <c r="BF443" s="283"/>
      <c r="BG443" s="283"/>
      <c r="BH443" s="424"/>
      <c r="BI443" s="413"/>
      <c r="BJ443" s="302"/>
      <c r="BK443" s="414"/>
      <c r="BL443" s="411"/>
      <c r="BM443" s="421"/>
    </row>
    <row r="444" spans="1:243" s="254" customFormat="1" x14ac:dyDescent="0.25">
      <c r="A444" s="98" t="s">
        <v>330</v>
      </c>
      <c r="B444" s="154" t="s">
        <v>863</v>
      </c>
      <c r="C444" s="58"/>
      <c r="D444" s="44"/>
      <c r="E444" s="59">
        <f t="shared" si="125"/>
        <v>3.3</v>
      </c>
      <c r="F444" s="59">
        <f>SUM(F445:F449)</f>
        <v>0.01</v>
      </c>
      <c r="G444" s="59">
        <f>SUM(G445:G449)</f>
        <v>3.29</v>
      </c>
      <c r="H444" s="59">
        <f t="shared" ref="H444:BG444" si="140">SUM(H445:H449)</f>
        <v>1.1499999999999999</v>
      </c>
      <c r="I444" s="59">
        <f t="shared" si="140"/>
        <v>0</v>
      </c>
      <c r="J444" s="59">
        <f t="shared" si="140"/>
        <v>0</v>
      </c>
      <c r="K444" s="59">
        <f t="shared" si="140"/>
        <v>0.18</v>
      </c>
      <c r="L444" s="59">
        <f t="shared" si="140"/>
        <v>0</v>
      </c>
      <c r="M444" s="59">
        <f t="shared" si="140"/>
        <v>0</v>
      </c>
      <c r="N444" s="59">
        <f t="shared" si="140"/>
        <v>0</v>
      </c>
      <c r="O444" s="59">
        <f t="shared" si="140"/>
        <v>0</v>
      </c>
      <c r="P444" s="59">
        <f t="shared" si="140"/>
        <v>0</v>
      </c>
      <c r="Q444" s="59">
        <f t="shared" si="140"/>
        <v>0</v>
      </c>
      <c r="R444" s="59">
        <f t="shared" si="140"/>
        <v>0</v>
      </c>
      <c r="S444" s="59">
        <f t="shared" si="140"/>
        <v>0</v>
      </c>
      <c r="T444" s="59">
        <f t="shared" si="140"/>
        <v>0</v>
      </c>
      <c r="U444" s="71">
        <f t="shared" si="140"/>
        <v>1.4</v>
      </c>
      <c r="V444" s="59">
        <f t="shared" si="140"/>
        <v>1.4</v>
      </c>
      <c r="W444" s="59">
        <f t="shared" si="140"/>
        <v>0</v>
      </c>
      <c r="X444" s="59">
        <f t="shared" si="140"/>
        <v>0</v>
      </c>
      <c r="Y444" s="59">
        <f t="shared" si="140"/>
        <v>0</v>
      </c>
      <c r="Z444" s="59">
        <f t="shared" si="140"/>
        <v>0</v>
      </c>
      <c r="AA444" s="59">
        <f t="shared" si="140"/>
        <v>0</v>
      </c>
      <c r="AB444" s="59">
        <f t="shared" si="140"/>
        <v>0</v>
      </c>
      <c r="AC444" s="59">
        <f t="shared" si="140"/>
        <v>0.02</v>
      </c>
      <c r="AD444" s="59">
        <f t="shared" si="140"/>
        <v>0.01</v>
      </c>
      <c r="AE444" s="59">
        <f t="shared" si="140"/>
        <v>0</v>
      </c>
      <c r="AF444" s="59">
        <f t="shared" si="140"/>
        <v>0.5</v>
      </c>
      <c r="AG444" s="59">
        <f t="shared" si="140"/>
        <v>0</v>
      </c>
      <c r="AH444" s="59">
        <f t="shared" si="140"/>
        <v>0</v>
      </c>
      <c r="AI444" s="59">
        <f t="shared" si="140"/>
        <v>0</v>
      </c>
      <c r="AJ444" s="59">
        <f t="shared" si="140"/>
        <v>0</v>
      </c>
      <c r="AK444" s="59">
        <f t="shared" si="140"/>
        <v>0</v>
      </c>
      <c r="AL444" s="59">
        <f t="shared" si="140"/>
        <v>0.03</v>
      </c>
      <c r="AM444" s="59">
        <f t="shared" si="140"/>
        <v>0</v>
      </c>
      <c r="AN444" s="59">
        <f t="shared" si="140"/>
        <v>0</v>
      </c>
      <c r="AO444" s="59">
        <f t="shared" si="140"/>
        <v>0</v>
      </c>
      <c r="AP444" s="59">
        <f t="shared" si="140"/>
        <v>0</v>
      </c>
      <c r="AQ444" s="59">
        <f t="shared" si="140"/>
        <v>0</v>
      </c>
      <c r="AR444" s="59">
        <f t="shared" si="140"/>
        <v>0</v>
      </c>
      <c r="AS444" s="59">
        <f t="shared" si="140"/>
        <v>0</v>
      </c>
      <c r="AT444" s="59">
        <f t="shared" si="140"/>
        <v>0</v>
      </c>
      <c r="AU444" s="59">
        <f t="shared" si="140"/>
        <v>0</v>
      </c>
      <c r="AV444" s="59">
        <f t="shared" si="140"/>
        <v>0</v>
      </c>
      <c r="AW444" s="59">
        <f t="shared" si="140"/>
        <v>0</v>
      </c>
      <c r="AX444" s="59">
        <f t="shared" si="140"/>
        <v>0</v>
      </c>
      <c r="AY444" s="59">
        <f t="shared" si="140"/>
        <v>0</v>
      </c>
      <c r="AZ444" s="59">
        <f t="shared" si="140"/>
        <v>0</v>
      </c>
      <c r="BA444" s="59">
        <f t="shared" si="140"/>
        <v>0</v>
      </c>
      <c r="BB444" s="59">
        <f t="shared" si="140"/>
        <v>0</v>
      </c>
      <c r="BC444" s="59">
        <f t="shared" si="140"/>
        <v>0</v>
      </c>
      <c r="BD444" s="59">
        <f t="shared" si="140"/>
        <v>0</v>
      </c>
      <c r="BE444" s="59">
        <f t="shared" si="140"/>
        <v>0</v>
      </c>
      <c r="BF444" s="59">
        <f t="shared" si="140"/>
        <v>0</v>
      </c>
      <c r="BG444" s="59">
        <f t="shared" si="140"/>
        <v>0</v>
      </c>
      <c r="BH444" s="231"/>
      <c r="BI444" s="58"/>
      <c r="BJ444" s="58"/>
      <c r="BK444" s="228"/>
      <c r="BL444" s="155"/>
      <c r="BM444" s="156"/>
    </row>
    <row r="445" spans="1:243" s="254" customFormat="1" ht="63" x14ac:dyDescent="0.25">
      <c r="A445" s="407">
        <f>A441+1</f>
        <v>260</v>
      </c>
      <c r="B445" s="468" t="s">
        <v>864</v>
      </c>
      <c r="C445" s="226" t="s">
        <v>71</v>
      </c>
      <c r="D445" s="243" t="s">
        <v>48</v>
      </c>
      <c r="E445" s="20">
        <f t="shared" si="125"/>
        <v>0.14000000000000001</v>
      </c>
      <c r="F445" s="20">
        <v>0.01</v>
      </c>
      <c r="G445" s="28">
        <f>SUM(H445:M445,Q445,U445,Y445:BG445)</f>
        <v>0.13</v>
      </c>
      <c r="H445" s="78">
        <v>0</v>
      </c>
      <c r="I445" s="78">
        <v>0</v>
      </c>
      <c r="J445" s="78">
        <v>0</v>
      </c>
      <c r="K445" s="78">
        <v>0</v>
      </c>
      <c r="L445" s="78">
        <v>0</v>
      </c>
      <c r="M445" s="78">
        <v>0</v>
      </c>
      <c r="N445" s="78">
        <v>0</v>
      </c>
      <c r="O445" s="78">
        <v>0</v>
      </c>
      <c r="P445" s="78">
        <v>0</v>
      </c>
      <c r="Q445" s="78">
        <v>0</v>
      </c>
      <c r="R445" s="78">
        <v>0</v>
      </c>
      <c r="S445" s="78">
        <v>0</v>
      </c>
      <c r="T445" s="78">
        <v>0</v>
      </c>
      <c r="U445" s="240">
        <v>0</v>
      </c>
      <c r="V445" s="78">
        <v>0</v>
      </c>
      <c r="W445" s="78">
        <v>0</v>
      </c>
      <c r="X445" s="78">
        <v>0</v>
      </c>
      <c r="Y445" s="78">
        <v>0</v>
      </c>
      <c r="Z445" s="78">
        <v>0</v>
      </c>
      <c r="AA445" s="78">
        <v>0</v>
      </c>
      <c r="AB445" s="78">
        <v>0</v>
      </c>
      <c r="AC445" s="78">
        <v>0.02</v>
      </c>
      <c r="AD445" s="78">
        <v>0</v>
      </c>
      <c r="AE445" s="78">
        <v>0</v>
      </c>
      <c r="AF445" s="78">
        <v>0.11</v>
      </c>
      <c r="AG445" s="78">
        <v>0</v>
      </c>
      <c r="AH445" s="78">
        <v>0</v>
      </c>
      <c r="AI445" s="78">
        <v>0</v>
      </c>
      <c r="AJ445" s="78">
        <v>0</v>
      </c>
      <c r="AK445" s="78">
        <v>0</v>
      </c>
      <c r="AL445" s="78">
        <v>0</v>
      </c>
      <c r="AM445" s="78">
        <v>0</v>
      </c>
      <c r="AN445" s="78">
        <v>0</v>
      </c>
      <c r="AO445" s="78">
        <v>0</v>
      </c>
      <c r="AP445" s="78">
        <v>0</v>
      </c>
      <c r="AQ445" s="78">
        <v>0</v>
      </c>
      <c r="AR445" s="78">
        <v>0</v>
      </c>
      <c r="AS445" s="78">
        <v>0</v>
      </c>
      <c r="AT445" s="78">
        <v>0</v>
      </c>
      <c r="AU445" s="78">
        <v>0</v>
      </c>
      <c r="AV445" s="78">
        <v>0</v>
      </c>
      <c r="AW445" s="78">
        <v>0</v>
      </c>
      <c r="AX445" s="78">
        <v>0</v>
      </c>
      <c r="AY445" s="78">
        <v>0</v>
      </c>
      <c r="AZ445" s="78">
        <v>0</v>
      </c>
      <c r="BA445" s="78">
        <v>0</v>
      </c>
      <c r="BB445" s="78">
        <v>0</v>
      </c>
      <c r="BC445" s="78">
        <v>0</v>
      </c>
      <c r="BD445" s="78">
        <v>0</v>
      </c>
      <c r="BE445" s="78">
        <v>0</v>
      </c>
      <c r="BF445" s="78">
        <v>0</v>
      </c>
      <c r="BG445" s="78">
        <v>0</v>
      </c>
      <c r="BH445" s="235" t="s">
        <v>865</v>
      </c>
      <c r="BI445" s="226" t="s">
        <v>71</v>
      </c>
      <c r="BJ445" s="226" t="s">
        <v>1114</v>
      </c>
      <c r="BK445" s="233" t="s">
        <v>120</v>
      </c>
      <c r="BL445" s="246" t="s">
        <v>1141</v>
      </c>
      <c r="BM445" s="232" t="s">
        <v>1026</v>
      </c>
    </row>
    <row r="446" spans="1:243" s="252" customFormat="1" ht="78.75" x14ac:dyDescent="0.25">
      <c r="A446" s="407"/>
      <c r="B446" s="468"/>
      <c r="C446" s="226" t="s">
        <v>79</v>
      </c>
      <c r="D446" s="243" t="s">
        <v>48</v>
      </c>
      <c r="E446" s="20">
        <f>F446+G446</f>
        <v>0.39</v>
      </c>
      <c r="F446" s="21"/>
      <c r="G446" s="30">
        <f>SUM(H446:M446,Q446,U446,Y446:BG446)</f>
        <v>0.39</v>
      </c>
      <c r="H446" s="222">
        <v>0</v>
      </c>
      <c r="I446" s="222">
        <v>0</v>
      </c>
      <c r="J446" s="222">
        <v>0</v>
      </c>
      <c r="K446" s="222">
        <v>0</v>
      </c>
      <c r="L446" s="222">
        <v>0</v>
      </c>
      <c r="M446" s="222">
        <v>0</v>
      </c>
      <c r="N446" s="222">
        <v>0</v>
      </c>
      <c r="O446" s="222">
        <v>0</v>
      </c>
      <c r="P446" s="222">
        <v>0</v>
      </c>
      <c r="Q446" s="222">
        <v>0</v>
      </c>
      <c r="R446" s="222">
        <v>0</v>
      </c>
      <c r="S446" s="222">
        <v>0</v>
      </c>
      <c r="T446" s="222">
        <v>0</v>
      </c>
      <c r="U446" s="222">
        <v>0</v>
      </c>
      <c r="V446" s="222">
        <v>0</v>
      </c>
      <c r="W446" s="222">
        <v>0</v>
      </c>
      <c r="X446" s="222">
        <v>0</v>
      </c>
      <c r="Y446" s="222">
        <v>0</v>
      </c>
      <c r="Z446" s="222">
        <v>0</v>
      </c>
      <c r="AA446" s="222">
        <v>0</v>
      </c>
      <c r="AB446" s="222">
        <v>0</v>
      </c>
      <c r="AC446" s="222">
        <v>0</v>
      </c>
      <c r="AD446" s="222">
        <v>0</v>
      </c>
      <c r="AE446" s="222">
        <v>0</v>
      </c>
      <c r="AF446" s="222">
        <v>0.39</v>
      </c>
      <c r="AG446" s="222">
        <v>0</v>
      </c>
      <c r="AH446" s="222">
        <v>0</v>
      </c>
      <c r="AI446" s="222">
        <v>0</v>
      </c>
      <c r="AJ446" s="222">
        <v>0</v>
      </c>
      <c r="AK446" s="222">
        <v>0</v>
      </c>
      <c r="AL446" s="222">
        <v>0</v>
      </c>
      <c r="AM446" s="222">
        <v>0</v>
      </c>
      <c r="AN446" s="222">
        <v>0</v>
      </c>
      <c r="AO446" s="222">
        <v>0</v>
      </c>
      <c r="AP446" s="222">
        <v>0</v>
      </c>
      <c r="AQ446" s="222">
        <v>0</v>
      </c>
      <c r="AR446" s="222">
        <v>0</v>
      </c>
      <c r="AS446" s="222">
        <v>0</v>
      </c>
      <c r="AT446" s="222">
        <v>0</v>
      </c>
      <c r="AU446" s="222">
        <v>0</v>
      </c>
      <c r="AV446" s="222">
        <v>0</v>
      </c>
      <c r="AW446" s="222">
        <v>0</v>
      </c>
      <c r="AX446" s="222">
        <v>0</v>
      </c>
      <c r="AY446" s="222">
        <v>0</v>
      </c>
      <c r="AZ446" s="222">
        <v>0</v>
      </c>
      <c r="BA446" s="222">
        <v>0</v>
      </c>
      <c r="BB446" s="222">
        <v>0</v>
      </c>
      <c r="BC446" s="222">
        <v>0</v>
      </c>
      <c r="BD446" s="222">
        <v>0</v>
      </c>
      <c r="BE446" s="222">
        <v>0</v>
      </c>
      <c r="BF446" s="222">
        <v>0</v>
      </c>
      <c r="BG446" s="222">
        <v>0</v>
      </c>
      <c r="BH446" s="235" t="s">
        <v>269</v>
      </c>
      <c r="BI446" s="226" t="s">
        <v>79</v>
      </c>
      <c r="BJ446" s="226" t="s">
        <v>866</v>
      </c>
      <c r="BK446" s="241" t="s">
        <v>68</v>
      </c>
      <c r="BL446" s="246" t="s">
        <v>205</v>
      </c>
      <c r="BM446" s="242" t="s">
        <v>206</v>
      </c>
    </row>
    <row r="447" spans="1:243" s="252" customFormat="1" ht="31.5" x14ac:dyDescent="0.25">
      <c r="A447" s="407"/>
      <c r="B447" s="468"/>
      <c r="C447" s="226" t="s">
        <v>150</v>
      </c>
      <c r="D447" s="243" t="s">
        <v>48</v>
      </c>
      <c r="E447" s="20">
        <f>F447+G447</f>
        <v>0.01</v>
      </c>
      <c r="F447" s="21"/>
      <c r="G447" s="28">
        <f>SUM(H447:M447,Q447,U447,Y447:BG447)</f>
        <v>0.01</v>
      </c>
      <c r="H447" s="240"/>
      <c r="I447" s="240"/>
      <c r="J447" s="240"/>
      <c r="K447" s="240"/>
      <c r="L447" s="240"/>
      <c r="M447" s="238">
        <f>SUM(N447:P447)</f>
        <v>0</v>
      </c>
      <c r="N447" s="240"/>
      <c r="O447" s="240"/>
      <c r="P447" s="240"/>
      <c r="Q447" s="240"/>
      <c r="R447" s="240"/>
      <c r="S447" s="240"/>
      <c r="T447" s="240"/>
      <c r="U447" s="238">
        <f>SUM(V447:X447)</f>
        <v>0</v>
      </c>
      <c r="V447" s="240"/>
      <c r="W447" s="240"/>
      <c r="X447" s="240"/>
      <c r="Y447" s="240"/>
      <c r="Z447" s="240"/>
      <c r="AA447" s="240"/>
      <c r="AB447" s="240"/>
      <c r="AC447" s="238"/>
      <c r="AD447" s="240">
        <v>0.01</v>
      </c>
      <c r="AE447" s="240"/>
      <c r="AF447" s="240"/>
      <c r="AG447" s="240"/>
      <c r="AH447" s="240"/>
      <c r="AI447" s="240"/>
      <c r="AJ447" s="240"/>
      <c r="AK447" s="240"/>
      <c r="AL447" s="240"/>
      <c r="AM447" s="240"/>
      <c r="AN447" s="240"/>
      <c r="AO447" s="240"/>
      <c r="AP447" s="240"/>
      <c r="AQ447" s="240"/>
      <c r="AR447" s="240"/>
      <c r="AS447" s="240"/>
      <c r="AT447" s="238"/>
      <c r="AU447" s="240"/>
      <c r="AV447" s="240"/>
      <c r="AW447" s="240"/>
      <c r="AX447" s="240"/>
      <c r="AY447" s="238"/>
      <c r="AZ447" s="238"/>
      <c r="BA447" s="238"/>
      <c r="BB447" s="240"/>
      <c r="BC447" s="238"/>
      <c r="BD447" s="238"/>
      <c r="BE447" s="238"/>
      <c r="BF447" s="238"/>
      <c r="BG447" s="238"/>
      <c r="BH447" s="235" t="s">
        <v>867</v>
      </c>
      <c r="BI447" s="226" t="s">
        <v>150</v>
      </c>
      <c r="BJ447" s="226" t="s">
        <v>868</v>
      </c>
      <c r="BK447" s="241" t="s">
        <v>120</v>
      </c>
      <c r="BL447" s="242" t="s">
        <v>202</v>
      </c>
      <c r="BM447" s="232" t="s">
        <v>1026</v>
      </c>
    </row>
    <row r="448" spans="1:243" s="252" customFormat="1" ht="31.5" x14ac:dyDescent="0.25">
      <c r="A448" s="407"/>
      <c r="B448" s="468"/>
      <c r="C448" s="226" t="s">
        <v>154</v>
      </c>
      <c r="D448" s="243" t="s">
        <v>48</v>
      </c>
      <c r="E448" s="20">
        <f>F448+G448</f>
        <v>1.4</v>
      </c>
      <c r="F448" s="21"/>
      <c r="G448" s="28">
        <f>SUM(H448:M448,Q448,U448,Y448:BG448)</f>
        <v>1.4</v>
      </c>
      <c r="H448" s="150"/>
      <c r="I448" s="150"/>
      <c r="J448" s="150"/>
      <c r="K448" s="150"/>
      <c r="L448" s="150"/>
      <c r="M448" s="30">
        <f>SUM(N448:P448)</f>
        <v>0</v>
      </c>
      <c r="N448" s="150"/>
      <c r="O448" s="150"/>
      <c r="P448" s="150"/>
      <c r="Q448" s="150"/>
      <c r="R448" s="150"/>
      <c r="S448" s="150"/>
      <c r="T448" s="150"/>
      <c r="U448" s="222">
        <f>SUM(V448:X448)</f>
        <v>1.4</v>
      </c>
      <c r="V448" s="150">
        <v>1.4</v>
      </c>
      <c r="W448" s="150"/>
      <c r="X448" s="150"/>
      <c r="Y448" s="150"/>
      <c r="Z448" s="150"/>
      <c r="AA448" s="150"/>
      <c r="AB448" s="150"/>
      <c r="AC448" s="30"/>
      <c r="AD448" s="150"/>
      <c r="AE448" s="150"/>
      <c r="AF448" s="150"/>
      <c r="AG448" s="150"/>
      <c r="AH448" s="150"/>
      <c r="AI448" s="150"/>
      <c r="AJ448" s="150"/>
      <c r="AK448" s="150"/>
      <c r="AL448" s="150"/>
      <c r="AM448" s="150"/>
      <c r="AN448" s="150"/>
      <c r="AO448" s="150"/>
      <c r="AP448" s="150"/>
      <c r="AQ448" s="150"/>
      <c r="AR448" s="150"/>
      <c r="AS448" s="150"/>
      <c r="AT448" s="150"/>
      <c r="AU448" s="150"/>
      <c r="AV448" s="150"/>
      <c r="AW448" s="150"/>
      <c r="AX448" s="150"/>
      <c r="AY448" s="30"/>
      <c r="AZ448" s="30"/>
      <c r="BA448" s="30"/>
      <c r="BB448" s="150"/>
      <c r="BC448" s="30"/>
      <c r="BD448" s="30"/>
      <c r="BE448" s="30"/>
      <c r="BF448" s="30"/>
      <c r="BG448" s="30"/>
      <c r="BH448" s="235" t="s">
        <v>279</v>
      </c>
      <c r="BI448" s="226" t="s">
        <v>154</v>
      </c>
      <c r="BJ448" s="226" t="s">
        <v>1098</v>
      </c>
      <c r="BK448" s="233" t="s">
        <v>120</v>
      </c>
      <c r="BL448" s="242" t="s">
        <v>202</v>
      </c>
      <c r="BM448" s="232" t="s">
        <v>1026</v>
      </c>
    </row>
    <row r="449" spans="1:65" s="252" customFormat="1" ht="31.5" x14ac:dyDescent="0.25">
      <c r="A449" s="309">
        <f>A445+1</f>
        <v>261</v>
      </c>
      <c r="B449" s="310" t="s">
        <v>869</v>
      </c>
      <c r="C449" s="263" t="s">
        <v>65</v>
      </c>
      <c r="D449" s="264" t="s">
        <v>49</v>
      </c>
      <c r="E449" s="265">
        <f>F449+G449</f>
        <v>1.3599999999999999</v>
      </c>
      <c r="F449" s="266"/>
      <c r="G449" s="311">
        <f>SUM(H449:M449,Q449,U449,Y449:BG449)</f>
        <v>1.3599999999999999</v>
      </c>
      <c r="H449" s="287">
        <v>1.1499999999999999</v>
      </c>
      <c r="I449" s="287">
        <v>0</v>
      </c>
      <c r="J449" s="287">
        <v>0</v>
      </c>
      <c r="K449" s="287">
        <v>0.18</v>
      </c>
      <c r="L449" s="287">
        <v>0</v>
      </c>
      <c r="M449" s="287">
        <v>0</v>
      </c>
      <c r="N449" s="287">
        <v>0</v>
      </c>
      <c r="O449" s="287">
        <v>0</v>
      </c>
      <c r="P449" s="287">
        <v>0</v>
      </c>
      <c r="Q449" s="287">
        <v>0</v>
      </c>
      <c r="R449" s="287">
        <v>0</v>
      </c>
      <c r="S449" s="287">
        <v>0</v>
      </c>
      <c r="T449" s="287">
        <v>0</v>
      </c>
      <c r="U449" s="287">
        <v>0</v>
      </c>
      <c r="V449" s="287">
        <v>0</v>
      </c>
      <c r="W449" s="287">
        <v>0</v>
      </c>
      <c r="X449" s="287">
        <v>0</v>
      </c>
      <c r="Y449" s="287">
        <v>0</v>
      </c>
      <c r="Z449" s="287">
        <v>0</v>
      </c>
      <c r="AA449" s="287">
        <v>0</v>
      </c>
      <c r="AB449" s="287">
        <v>0</v>
      </c>
      <c r="AC449" s="287">
        <v>0</v>
      </c>
      <c r="AD449" s="287">
        <v>0</v>
      </c>
      <c r="AE449" s="287">
        <v>0</v>
      </c>
      <c r="AF449" s="287">
        <v>0</v>
      </c>
      <c r="AG449" s="287">
        <v>0</v>
      </c>
      <c r="AH449" s="287">
        <v>0</v>
      </c>
      <c r="AI449" s="287">
        <v>0</v>
      </c>
      <c r="AJ449" s="287">
        <v>0</v>
      </c>
      <c r="AK449" s="287">
        <v>0</v>
      </c>
      <c r="AL449" s="287">
        <v>0.03</v>
      </c>
      <c r="AM449" s="287">
        <v>0</v>
      </c>
      <c r="AN449" s="287">
        <v>0</v>
      </c>
      <c r="AO449" s="287">
        <v>0</v>
      </c>
      <c r="AP449" s="287">
        <v>0</v>
      </c>
      <c r="AQ449" s="287">
        <v>0</v>
      </c>
      <c r="AR449" s="287">
        <v>0</v>
      </c>
      <c r="AS449" s="287">
        <v>0</v>
      </c>
      <c r="AT449" s="287">
        <v>0</v>
      </c>
      <c r="AU449" s="287">
        <v>0</v>
      </c>
      <c r="AV449" s="287">
        <v>0</v>
      </c>
      <c r="AW449" s="287">
        <v>0</v>
      </c>
      <c r="AX449" s="287">
        <v>0</v>
      </c>
      <c r="AY449" s="287">
        <v>0</v>
      </c>
      <c r="AZ449" s="287">
        <v>0</v>
      </c>
      <c r="BA449" s="287">
        <v>0</v>
      </c>
      <c r="BB449" s="287">
        <v>0</v>
      </c>
      <c r="BC449" s="287">
        <v>0</v>
      </c>
      <c r="BD449" s="287">
        <v>0</v>
      </c>
      <c r="BE449" s="287">
        <v>0</v>
      </c>
      <c r="BF449" s="287">
        <v>0</v>
      </c>
      <c r="BG449" s="287">
        <v>0</v>
      </c>
      <c r="BH449" s="312" t="s">
        <v>870</v>
      </c>
      <c r="BI449" s="263" t="s">
        <v>65</v>
      </c>
      <c r="BJ449" s="268" t="s">
        <v>871</v>
      </c>
      <c r="BK449" s="313" t="s">
        <v>120</v>
      </c>
      <c r="BL449" s="269" t="s">
        <v>467</v>
      </c>
      <c r="BM449" s="314" t="s">
        <v>1026</v>
      </c>
    </row>
    <row r="450" spans="1:65" s="254" customFormat="1" x14ac:dyDescent="0.25">
      <c r="A450" s="157" t="s">
        <v>330</v>
      </c>
      <c r="B450" s="158" t="s">
        <v>872</v>
      </c>
      <c r="C450" s="159"/>
      <c r="D450" s="44"/>
      <c r="E450" s="93">
        <f>SUM(F450:G450)</f>
        <v>35.260000000000005</v>
      </c>
      <c r="F450" s="160">
        <f>SUM(F451:F467)</f>
        <v>0</v>
      </c>
      <c r="G450" s="93">
        <f>SUM(G451:G467)</f>
        <v>35.260000000000005</v>
      </c>
      <c r="H450" s="93">
        <f>SUM(H451:H467)</f>
        <v>6.66</v>
      </c>
      <c r="I450" s="93">
        <f t="shared" ref="I450:BG450" si="141">SUM(I451:I467)</f>
        <v>3.3200000000000003</v>
      </c>
      <c r="J450" s="93">
        <f t="shared" si="141"/>
        <v>0</v>
      </c>
      <c r="K450" s="93">
        <f t="shared" si="141"/>
        <v>10.42</v>
      </c>
      <c r="L450" s="93">
        <f t="shared" si="141"/>
        <v>5.7100000000000009</v>
      </c>
      <c r="M450" s="93">
        <f t="shared" si="141"/>
        <v>0</v>
      </c>
      <c r="N450" s="93">
        <f t="shared" si="141"/>
        <v>0</v>
      </c>
      <c r="O450" s="93">
        <f t="shared" si="141"/>
        <v>0</v>
      </c>
      <c r="P450" s="93">
        <f t="shared" si="141"/>
        <v>0</v>
      </c>
      <c r="Q450" s="93">
        <f t="shared" si="141"/>
        <v>0</v>
      </c>
      <c r="R450" s="93">
        <f t="shared" si="141"/>
        <v>0</v>
      </c>
      <c r="S450" s="93">
        <f t="shared" si="141"/>
        <v>0</v>
      </c>
      <c r="T450" s="93">
        <f t="shared" si="141"/>
        <v>0</v>
      </c>
      <c r="U450" s="168">
        <f t="shared" si="141"/>
        <v>8.31</v>
      </c>
      <c r="V450" s="93">
        <f t="shared" si="141"/>
        <v>8.31</v>
      </c>
      <c r="W450" s="93">
        <f t="shared" si="141"/>
        <v>0</v>
      </c>
      <c r="X450" s="93">
        <f t="shared" si="141"/>
        <v>0</v>
      </c>
      <c r="Y450" s="93">
        <f t="shared" si="141"/>
        <v>0.83999999999999986</v>
      </c>
      <c r="Z450" s="93">
        <f t="shared" si="141"/>
        <v>0</v>
      </c>
      <c r="AA450" s="93">
        <f t="shared" si="141"/>
        <v>0</v>
      </c>
      <c r="AB450" s="93">
        <f t="shared" si="141"/>
        <v>0</v>
      </c>
      <c r="AC450" s="93">
        <f t="shared" si="141"/>
        <v>0</v>
      </c>
      <c r="AD450" s="93">
        <f t="shared" si="141"/>
        <v>0</v>
      </c>
      <c r="AE450" s="93">
        <f t="shared" si="141"/>
        <v>0</v>
      </c>
      <c r="AF450" s="93">
        <f t="shared" si="141"/>
        <v>0</v>
      </c>
      <c r="AG450" s="93">
        <f t="shared" si="141"/>
        <v>0</v>
      </c>
      <c r="AH450" s="93">
        <f t="shared" si="141"/>
        <v>0</v>
      </c>
      <c r="AI450" s="93">
        <f t="shared" si="141"/>
        <v>0</v>
      </c>
      <c r="AJ450" s="93">
        <f t="shared" si="141"/>
        <v>0</v>
      </c>
      <c r="AK450" s="93">
        <f t="shared" si="141"/>
        <v>0</v>
      </c>
      <c r="AL450" s="93">
        <f t="shared" si="141"/>
        <v>0</v>
      </c>
      <c r="AM450" s="93">
        <f t="shared" si="141"/>
        <v>0</v>
      </c>
      <c r="AN450" s="93">
        <f t="shared" si="141"/>
        <v>0</v>
      </c>
      <c r="AO450" s="93">
        <f t="shared" si="141"/>
        <v>0</v>
      </c>
      <c r="AP450" s="93">
        <f t="shared" si="141"/>
        <v>0</v>
      </c>
      <c r="AQ450" s="93">
        <f t="shared" si="141"/>
        <v>0</v>
      </c>
      <c r="AR450" s="93">
        <f t="shared" si="141"/>
        <v>0</v>
      </c>
      <c r="AS450" s="93">
        <f t="shared" si="141"/>
        <v>0</v>
      </c>
      <c r="AT450" s="93">
        <f t="shared" si="141"/>
        <v>0</v>
      </c>
      <c r="AU450" s="93">
        <f t="shared" si="141"/>
        <v>0</v>
      </c>
      <c r="AV450" s="93">
        <f t="shared" si="141"/>
        <v>0</v>
      </c>
      <c r="AW450" s="93">
        <f t="shared" si="141"/>
        <v>0</v>
      </c>
      <c r="AX450" s="93">
        <f t="shared" si="141"/>
        <v>0</v>
      </c>
      <c r="AY450" s="93">
        <f t="shared" si="141"/>
        <v>0</v>
      </c>
      <c r="AZ450" s="93">
        <f t="shared" si="141"/>
        <v>0</v>
      </c>
      <c r="BA450" s="93">
        <f t="shared" si="141"/>
        <v>0</v>
      </c>
      <c r="BB450" s="93">
        <f t="shared" si="141"/>
        <v>0</v>
      </c>
      <c r="BC450" s="93">
        <f t="shared" si="141"/>
        <v>0</v>
      </c>
      <c r="BD450" s="93">
        <f t="shared" si="141"/>
        <v>0</v>
      </c>
      <c r="BE450" s="93">
        <f t="shared" si="141"/>
        <v>0</v>
      </c>
      <c r="BF450" s="93">
        <f t="shared" si="141"/>
        <v>0</v>
      </c>
      <c r="BG450" s="93">
        <f t="shared" si="141"/>
        <v>0</v>
      </c>
      <c r="BH450" s="231"/>
      <c r="BI450" s="159"/>
      <c r="BJ450" s="159"/>
      <c r="BK450" s="153"/>
      <c r="BL450" s="155"/>
      <c r="BM450" s="156"/>
    </row>
    <row r="451" spans="1:65" s="252" customFormat="1" ht="31.5" x14ac:dyDescent="0.25">
      <c r="A451" s="249">
        <f>A449+1</f>
        <v>262</v>
      </c>
      <c r="B451" s="250" t="s">
        <v>873</v>
      </c>
      <c r="C451" s="223" t="s">
        <v>874</v>
      </c>
      <c r="D451" s="243" t="s">
        <v>49</v>
      </c>
      <c r="E451" s="20">
        <f t="shared" ref="E451:E473" si="142">F451+G451</f>
        <v>4.74</v>
      </c>
      <c r="F451" s="20"/>
      <c r="G451" s="28">
        <f t="shared" ref="G451:G465" si="143">SUM(H451:M451,Q451,U451,Y451:BG451)</f>
        <v>4.74</v>
      </c>
      <c r="H451" s="238">
        <v>0.92</v>
      </c>
      <c r="I451" s="238">
        <v>1.61</v>
      </c>
      <c r="J451" s="238"/>
      <c r="K451" s="238">
        <v>1.35</v>
      </c>
      <c r="L451" s="238">
        <v>0.44</v>
      </c>
      <c r="M451" s="238"/>
      <c r="N451" s="238"/>
      <c r="O451" s="238"/>
      <c r="P451" s="238"/>
      <c r="Q451" s="238"/>
      <c r="R451" s="238"/>
      <c r="S451" s="238"/>
      <c r="T451" s="238"/>
      <c r="U451" s="33">
        <f>SUM(V451:X451)</f>
        <v>0.3</v>
      </c>
      <c r="V451" s="240">
        <v>0.3</v>
      </c>
      <c r="W451" s="240"/>
      <c r="X451" s="102"/>
      <c r="Y451" s="102">
        <v>0.12</v>
      </c>
      <c r="Z451" s="102"/>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c r="BD451" s="102"/>
      <c r="BE451" s="102"/>
      <c r="BF451" s="102"/>
      <c r="BG451" s="102"/>
      <c r="BH451" s="63" t="s">
        <v>875</v>
      </c>
      <c r="BI451" s="223" t="s">
        <v>874</v>
      </c>
      <c r="BJ451" s="223"/>
      <c r="BK451" s="161" t="s">
        <v>415</v>
      </c>
      <c r="BL451" s="242" t="s">
        <v>1013</v>
      </c>
      <c r="BM451" s="226" t="s">
        <v>1026</v>
      </c>
    </row>
    <row r="452" spans="1:65" s="252" customFormat="1" ht="31.5" x14ac:dyDescent="0.25">
      <c r="A452" s="407">
        <f>A451+1</f>
        <v>263</v>
      </c>
      <c r="B452" s="418" t="s">
        <v>876</v>
      </c>
      <c r="C452" s="223" t="s">
        <v>82</v>
      </c>
      <c r="D452" s="243" t="s">
        <v>48</v>
      </c>
      <c r="E452" s="20">
        <f t="shared" si="142"/>
        <v>2.14</v>
      </c>
      <c r="F452" s="20"/>
      <c r="G452" s="28">
        <f t="shared" si="143"/>
        <v>2.14</v>
      </c>
      <c r="H452" s="238">
        <v>0.12</v>
      </c>
      <c r="I452" s="238">
        <v>0.04</v>
      </c>
      <c r="J452" s="238"/>
      <c r="K452" s="238">
        <v>0.62</v>
      </c>
      <c r="L452" s="238">
        <v>0.76</v>
      </c>
      <c r="M452" s="238"/>
      <c r="N452" s="238"/>
      <c r="O452" s="238"/>
      <c r="P452" s="238"/>
      <c r="Q452" s="238"/>
      <c r="R452" s="238"/>
      <c r="S452" s="238"/>
      <c r="T452" s="238"/>
      <c r="U452" s="238">
        <f t="shared" ref="U452:U457" si="144">SUM(V452:X452)</f>
        <v>0.6</v>
      </c>
      <c r="V452" s="204">
        <f>0.61-0.01</f>
        <v>0.6</v>
      </c>
      <c r="W452" s="240"/>
      <c r="X452" s="240"/>
      <c r="Y452" s="240"/>
      <c r="Z452" s="102"/>
      <c r="AA452" s="102"/>
      <c r="AB452" s="102"/>
      <c r="AC452" s="240"/>
      <c r="AD452" s="240"/>
      <c r="AE452" s="240"/>
      <c r="AF452" s="240"/>
      <c r="AG452" s="240"/>
      <c r="AH452" s="102"/>
      <c r="AI452" s="240"/>
      <c r="AJ452" s="240"/>
      <c r="AK452" s="240"/>
      <c r="AL452" s="240"/>
      <c r="AM452" s="240"/>
      <c r="AN452" s="240"/>
      <c r="AO452" s="102"/>
      <c r="AP452" s="102"/>
      <c r="AQ452" s="102"/>
      <c r="AR452" s="102"/>
      <c r="AS452" s="102"/>
      <c r="AT452" s="240"/>
      <c r="AU452" s="240"/>
      <c r="AV452" s="240"/>
      <c r="AW452" s="240"/>
      <c r="AX452" s="240"/>
      <c r="AY452" s="240"/>
      <c r="AZ452" s="240"/>
      <c r="BA452" s="240"/>
      <c r="BB452" s="240"/>
      <c r="BC452" s="240"/>
      <c r="BD452" s="240"/>
      <c r="BE452" s="240"/>
      <c r="BF452" s="240"/>
      <c r="BG452" s="240"/>
      <c r="BH452" s="63" t="s">
        <v>269</v>
      </c>
      <c r="BI452" s="223" t="s">
        <v>82</v>
      </c>
      <c r="BJ452" s="65"/>
      <c r="BK452" s="161" t="s">
        <v>415</v>
      </c>
      <c r="BL452" s="242" t="s">
        <v>202</v>
      </c>
      <c r="BM452" s="226" t="s">
        <v>1026</v>
      </c>
    </row>
    <row r="453" spans="1:65" s="252" customFormat="1" ht="31.5" x14ac:dyDescent="0.25">
      <c r="A453" s="407"/>
      <c r="B453" s="418"/>
      <c r="C453" s="243" t="s">
        <v>87</v>
      </c>
      <c r="D453" s="243" t="s">
        <v>48</v>
      </c>
      <c r="E453" s="20">
        <f t="shared" si="142"/>
        <v>1.0899999999999999</v>
      </c>
      <c r="F453" s="20"/>
      <c r="G453" s="28">
        <f t="shared" si="143"/>
        <v>1.0899999999999999</v>
      </c>
      <c r="H453" s="222">
        <v>0.03</v>
      </c>
      <c r="I453" s="222"/>
      <c r="J453" s="222"/>
      <c r="K453" s="222">
        <v>0.2</v>
      </c>
      <c r="L453" s="222">
        <v>0.4</v>
      </c>
      <c r="M453" s="222"/>
      <c r="N453" s="222"/>
      <c r="O453" s="222"/>
      <c r="P453" s="222"/>
      <c r="Q453" s="222"/>
      <c r="R453" s="222"/>
      <c r="S453" s="222"/>
      <c r="T453" s="222"/>
      <c r="U453" s="33">
        <f t="shared" si="144"/>
        <v>0.45999999999999996</v>
      </c>
      <c r="V453" s="204">
        <v>0.45999999999999996</v>
      </c>
      <c r="W453" s="92"/>
      <c r="X453" s="92"/>
      <c r="Y453" s="92"/>
      <c r="Z453" s="92"/>
      <c r="AA453" s="92"/>
      <c r="AB453" s="92"/>
      <c r="AC453" s="92"/>
      <c r="AD453" s="92"/>
      <c r="AE453" s="92"/>
      <c r="AF453" s="92"/>
      <c r="AG453" s="92"/>
      <c r="AH453" s="92"/>
      <c r="AI453" s="92"/>
      <c r="AJ453" s="92"/>
      <c r="AK453" s="54"/>
      <c r="AL453" s="54"/>
      <c r="AM453" s="54"/>
      <c r="AN453" s="54"/>
      <c r="AO453" s="54"/>
      <c r="AP453" s="54"/>
      <c r="AQ453" s="54"/>
      <c r="AR453" s="54"/>
      <c r="AS453" s="54"/>
      <c r="AT453" s="92"/>
      <c r="AU453" s="92"/>
      <c r="AV453" s="92"/>
      <c r="AW453" s="92"/>
      <c r="AX453" s="92"/>
      <c r="AY453" s="92"/>
      <c r="AZ453" s="92"/>
      <c r="BA453" s="92"/>
      <c r="BB453" s="92"/>
      <c r="BC453" s="92"/>
      <c r="BD453" s="92"/>
      <c r="BE453" s="92"/>
      <c r="BF453" s="92"/>
      <c r="BG453" s="92"/>
      <c r="BH453" s="63" t="s">
        <v>269</v>
      </c>
      <c r="BI453" s="243" t="s">
        <v>87</v>
      </c>
      <c r="BJ453" s="65"/>
      <c r="BK453" s="161" t="s">
        <v>415</v>
      </c>
      <c r="BL453" s="242" t="s">
        <v>202</v>
      </c>
      <c r="BM453" s="226" t="s">
        <v>1026</v>
      </c>
    </row>
    <row r="454" spans="1:65" s="252" customFormat="1" ht="31.5" x14ac:dyDescent="0.25">
      <c r="A454" s="407"/>
      <c r="B454" s="418"/>
      <c r="C454" s="223" t="s">
        <v>134</v>
      </c>
      <c r="D454" s="243" t="s">
        <v>48</v>
      </c>
      <c r="E454" s="20">
        <f t="shared" si="142"/>
        <v>1.4600000000000002</v>
      </c>
      <c r="F454" s="20"/>
      <c r="G454" s="28">
        <f t="shared" si="143"/>
        <v>1.4600000000000002</v>
      </c>
      <c r="H454" s="238">
        <v>0.1</v>
      </c>
      <c r="I454" s="238">
        <v>0.1</v>
      </c>
      <c r="J454" s="238"/>
      <c r="K454" s="238">
        <v>0.1</v>
      </c>
      <c r="L454" s="238">
        <v>0.1</v>
      </c>
      <c r="M454" s="238"/>
      <c r="N454" s="238"/>
      <c r="O454" s="238"/>
      <c r="P454" s="238"/>
      <c r="Q454" s="238"/>
      <c r="R454" s="238"/>
      <c r="S454" s="238"/>
      <c r="T454" s="238"/>
      <c r="U454" s="33">
        <f t="shared" si="144"/>
        <v>0.96000000000000008</v>
      </c>
      <c r="V454" s="204">
        <v>0.96000000000000008</v>
      </c>
      <c r="W454" s="240"/>
      <c r="X454" s="240"/>
      <c r="Y454" s="240">
        <v>0.1</v>
      </c>
      <c r="Z454" s="102"/>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c r="BD454" s="102"/>
      <c r="BE454" s="102"/>
      <c r="BF454" s="102"/>
      <c r="BG454" s="102"/>
      <c r="BH454" s="63" t="s">
        <v>269</v>
      </c>
      <c r="BI454" s="223" t="s">
        <v>134</v>
      </c>
      <c r="BJ454" s="65"/>
      <c r="BK454" s="161" t="s">
        <v>415</v>
      </c>
      <c r="BL454" s="242" t="s">
        <v>202</v>
      </c>
      <c r="BM454" s="226" t="s">
        <v>1026</v>
      </c>
    </row>
    <row r="455" spans="1:65" s="252" customFormat="1" ht="31.5" x14ac:dyDescent="0.25">
      <c r="A455" s="407"/>
      <c r="B455" s="418"/>
      <c r="C455" s="226" t="s">
        <v>79</v>
      </c>
      <c r="D455" s="243" t="s">
        <v>48</v>
      </c>
      <c r="E455" s="20">
        <f t="shared" si="142"/>
        <v>1.91</v>
      </c>
      <c r="F455" s="20"/>
      <c r="G455" s="28">
        <f t="shared" si="143"/>
        <v>1.91</v>
      </c>
      <c r="H455" s="238">
        <v>0.73</v>
      </c>
      <c r="I455" s="238">
        <v>0.11</v>
      </c>
      <c r="J455" s="238"/>
      <c r="K455" s="238">
        <v>0.39</v>
      </c>
      <c r="L455" s="238">
        <v>0.15</v>
      </c>
      <c r="M455" s="238"/>
      <c r="N455" s="238"/>
      <c r="O455" s="238"/>
      <c r="P455" s="238"/>
      <c r="Q455" s="238"/>
      <c r="R455" s="238"/>
      <c r="S455" s="238"/>
      <c r="T455" s="238"/>
      <c r="U455" s="33">
        <f t="shared" si="144"/>
        <v>0.5</v>
      </c>
      <c r="V455" s="204">
        <v>0.5</v>
      </c>
      <c r="W455" s="240"/>
      <c r="X455" s="102"/>
      <c r="Y455" s="102">
        <v>0.03</v>
      </c>
      <c r="Z455" s="102"/>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c r="BD455" s="102"/>
      <c r="BE455" s="102"/>
      <c r="BF455" s="102"/>
      <c r="BG455" s="102"/>
      <c r="BH455" s="63" t="s">
        <v>269</v>
      </c>
      <c r="BI455" s="226" t="s">
        <v>79</v>
      </c>
      <c r="BJ455" s="223"/>
      <c r="BK455" s="161" t="s">
        <v>415</v>
      </c>
      <c r="BL455" s="242" t="s">
        <v>202</v>
      </c>
      <c r="BM455" s="226" t="s">
        <v>1026</v>
      </c>
    </row>
    <row r="456" spans="1:65" s="252" customFormat="1" ht="31.5" x14ac:dyDescent="0.25">
      <c r="A456" s="407"/>
      <c r="B456" s="418"/>
      <c r="C456" s="223" t="s">
        <v>122</v>
      </c>
      <c r="D456" s="243" t="s">
        <v>48</v>
      </c>
      <c r="E456" s="20">
        <f t="shared" si="142"/>
        <v>2.7800000000000002</v>
      </c>
      <c r="F456" s="20"/>
      <c r="G456" s="28">
        <f t="shared" si="143"/>
        <v>2.7800000000000002</v>
      </c>
      <c r="H456" s="238"/>
      <c r="I456" s="238">
        <v>0.34</v>
      </c>
      <c r="J456" s="238"/>
      <c r="K456" s="238">
        <v>1.45</v>
      </c>
      <c r="L456" s="238">
        <v>0.67</v>
      </c>
      <c r="M456" s="238"/>
      <c r="N456" s="238"/>
      <c r="O456" s="78"/>
      <c r="P456" s="238"/>
      <c r="Q456" s="238"/>
      <c r="R456" s="238"/>
      <c r="S456" s="238"/>
      <c r="T456" s="238"/>
      <c r="U456" s="33">
        <f t="shared" si="144"/>
        <v>0.28000000000000003</v>
      </c>
      <c r="V456" s="205">
        <v>0.28000000000000003</v>
      </c>
      <c r="W456" s="240"/>
      <c r="X456" s="102"/>
      <c r="Y456" s="102">
        <v>0.04</v>
      </c>
      <c r="Z456" s="102"/>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63" t="s">
        <v>269</v>
      </c>
      <c r="BI456" s="223" t="s">
        <v>122</v>
      </c>
      <c r="BJ456" s="243"/>
      <c r="BK456" s="161" t="s">
        <v>415</v>
      </c>
      <c r="BL456" s="242" t="s">
        <v>202</v>
      </c>
      <c r="BM456" s="226" t="s">
        <v>1026</v>
      </c>
    </row>
    <row r="457" spans="1:65" s="252" customFormat="1" ht="31.5" x14ac:dyDescent="0.25">
      <c r="A457" s="407"/>
      <c r="B457" s="418"/>
      <c r="C457" s="219" t="s">
        <v>138</v>
      </c>
      <c r="D457" s="243" t="s">
        <v>48</v>
      </c>
      <c r="E457" s="20">
        <f t="shared" si="142"/>
        <v>1.5499999999999998</v>
      </c>
      <c r="F457" s="20"/>
      <c r="G457" s="28">
        <f t="shared" si="143"/>
        <v>1.5499999999999998</v>
      </c>
      <c r="H457" s="52">
        <v>0.27</v>
      </c>
      <c r="I457" s="52">
        <v>0.37</v>
      </c>
      <c r="J457" s="32"/>
      <c r="K457" s="52">
        <v>0.6</v>
      </c>
      <c r="L457" s="52"/>
      <c r="M457" s="235">
        <f>SUM(N457:P457)</f>
        <v>0</v>
      </c>
      <c r="N457" s="32"/>
      <c r="O457" s="32"/>
      <c r="P457" s="32"/>
      <c r="Q457" s="33">
        <f>R457+S457+T457</f>
        <v>0</v>
      </c>
      <c r="R457" s="32"/>
      <c r="S457" s="32"/>
      <c r="T457" s="32"/>
      <c r="U457" s="33">
        <f t="shared" si="144"/>
        <v>0.16</v>
      </c>
      <c r="V457" s="204">
        <v>0.16</v>
      </c>
      <c r="W457" s="32"/>
      <c r="X457" s="32"/>
      <c r="Y457" s="32">
        <v>0.15</v>
      </c>
      <c r="Z457" s="32"/>
      <c r="AA457" s="32"/>
      <c r="AB457" s="32"/>
      <c r="AC457" s="32"/>
      <c r="AD457" s="32"/>
      <c r="AE457" s="32"/>
      <c r="AF457" s="32"/>
      <c r="AG457" s="32"/>
      <c r="AH457" s="32"/>
      <c r="AI457" s="32"/>
      <c r="AJ457" s="32"/>
      <c r="AK457" s="32"/>
      <c r="AL457" s="32"/>
      <c r="AM457" s="32"/>
      <c r="AN457" s="32"/>
      <c r="AO457" s="32"/>
      <c r="AP457" s="32"/>
      <c r="AQ457" s="32"/>
      <c r="AR457" s="32"/>
      <c r="AS457" s="32"/>
      <c r="AT457" s="235"/>
      <c r="AU457" s="32"/>
      <c r="AV457" s="32"/>
      <c r="AW457" s="32"/>
      <c r="AX457" s="32"/>
      <c r="AY457" s="32"/>
      <c r="AZ457" s="32"/>
      <c r="BA457" s="32"/>
      <c r="BB457" s="32"/>
      <c r="BC457" s="32"/>
      <c r="BD457" s="32"/>
      <c r="BE457" s="32"/>
      <c r="BF457" s="32"/>
      <c r="BG457" s="32"/>
      <c r="BH457" s="63" t="s">
        <v>269</v>
      </c>
      <c r="BI457" s="219" t="s">
        <v>138</v>
      </c>
      <c r="BJ457" s="226"/>
      <c r="BK457" s="161" t="s">
        <v>415</v>
      </c>
      <c r="BL457" s="242" t="s">
        <v>202</v>
      </c>
      <c r="BM457" s="226" t="s">
        <v>1026</v>
      </c>
    </row>
    <row r="458" spans="1:65" s="252" customFormat="1" ht="31.5" x14ac:dyDescent="0.25">
      <c r="A458" s="407"/>
      <c r="B458" s="418"/>
      <c r="C458" s="219" t="s">
        <v>142</v>
      </c>
      <c r="D458" s="243" t="s">
        <v>48</v>
      </c>
      <c r="E458" s="20">
        <f t="shared" si="142"/>
        <v>3.0000000000000004</v>
      </c>
      <c r="F458" s="20"/>
      <c r="G458" s="28">
        <f t="shared" si="143"/>
        <v>3.0000000000000004</v>
      </c>
      <c r="H458" s="150">
        <v>0.7</v>
      </c>
      <c r="I458" s="150">
        <v>0</v>
      </c>
      <c r="J458" s="150">
        <v>0</v>
      </c>
      <c r="K458" s="150">
        <v>1.37</v>
      </c>
      <c r="L458" s="150">
        <v>0.41</v>
      </c>
      <c r="M458" s="150">
        <v>0</v>
      </c>
      <c r="N458" s="150">
        <v>0</v>
      </c>
      <c r="O458" s="150">
        <v>0</v>
      </c>
      <c r="P458" s="150">
        <v>0</v>
      </c>
      <c r="Q458" s="150">
        <v>0</v>
      </c>
      <c r="R458" s="150">
        <v>0</v>
      </c>
      <c r="S458" s="150">
        <v>0</v>
      </c>
      <c r="T458" s="150">
        <v>0</v>
      </c>
      <c r="U458" s="92">
        <v>0.52</v>
      </c>
      <c r="V458" s="150">
        <v>0.52</v>
      </c>
      <c r="W458" s="150">
        <v>0</v>
      </c>
      <c r="X458" s="150">
        <v>0</v>
      </c>
      <c r="Y458" s="150">
        <v>0</v>
      </c>
      <c r="Z458" s="150">
        <v>0</v>
      </c>
      <c r="AA458" s="150">
        <v>0</v>
      </c>
      <c r="AB458" s="150">
        <v>0</v>
      </c>
      <c r="AC458" s="150">
        <v>0</v>
      </c>
      <c r="AD458" s="150">
        <v>0</v>
      </c>
      <c r="AE458" s="150">
        <v>0</v>
      </c>
      <c r="AF458" s="150">
        <v>0</v>
      </c>
      <c r="AG458" s="150">
        <v>0</v>
      </c>
      <c r="AH458" s="150">
        <v>0</v>
      </c>
      <c r="AI458" s="150">
        <v>0</v>
      </c>
      <c r="AJ458" s="150">
        <v>0</v>
      </c>
      <c r="AK458" s="150">
        <v>0</v>
      </c>
      <c r="AL458" s="150">
        <v>0</v>
      </c>
      <c r="AM458" s="150">
        <v>0</v>
      </c>
      <c r="AN458" s="150">
        <v>0</v>
      </c>
      <c r="AO458" s="150">
        <v>0</v>
      </c>
      <c r="AP458" s="150">
        <v>0</v>
      </c>
      <c r="AQ458" s="150">
        <v>0</v>
      </c>
      <c r="AR458" s="150">
        <v>0</v>
      </c>
      <c r="AS458" s="150">
        <v>0</v>
      </c>
      <c r="AT458" s="150">
        <v>0</v>
      </c>
      <c r="AU458" s="150">
        <v>0</v>
      </c>
      <c r="AV458" s="150">
        <v>0</v>
      </c>
      <c r="AW458" s="150">
        <v>0</v>
      </c>
      <c r="AX458" s="150">
        <v>0</v>
      </c>
      <c r="AY458" s="150">
        <v>0</v>
      </c>
      <c r="AZ458" s="150">
        <v>0</v>
      </c>
      <c r="BA458" s="150">
        <v>0</v>
      </c>
      <c r="BB458" s="150">
        <v>0</v>
      </c>
      <c r="BC458" s="150">
        <v>0</v>
      </c>
      <c r="BD458" s="150">
        <v>0</v>
      </c>
      <c r="BE458" s="150">
        <v>0</v>
      </c>
      <c r="BF458" s="150">
        <v>0</v>
      </c>
      <c r="BG458" s="150">
        <v>0</v>
      </c>
      <c r="BH458" s="63" t="s">
        <v>269</v>
      </c>
      <c r="BI458" s="219" t="s">
        <v>142</v>
      </c>
      <c r="BJ458" s="223"/>
      <c r="BK458" s="161" t="s">
        <v>415</v>
      </c>
      <c r="BL458" s="242" t="s">
        <v>202</v>
      </c>
      <c r="BM458" s="226" t="s">
        <v>1026</v>
      </c>
    </row>
    <row r="459" spans="1:65" s="252" customFormat="1" ht="31.5" x14ac:dyDescent="0.25">
      <c r="A459" s="407"/>
      <c r="B459" s="418"/>
      <c r="C459" s="223" t="s">
        <v>91</v>
      </c>
      <c r="D459" s="243" t="s">
        <v>48</v>
      </c>
      <c r="E459" s="20">
        <f t="shared" si="142"/>
        <v>1.83</v>
      </c>
      <c r="F459" s="20"/>
      <c r="G459" s="28">
        <f t="shared" si="143"/>
        <v>1.83</v>
      </c>
      <c r="H459" s="238">
        <v>0.49</v>
      </c>
      <c r="I459" s="238">
        <v>0.27</v>
      </c>
      <c r="J459" s="238"/>
      <c r="K459" s="238">
        <v>0.54</v>
      </c>
      <c r="L459" s="238">
        <v>0.19</v>
      </c>
      <c r="M459" s="238"/>
      <c r="N459" s="238"/>
      <c r="O459" s="238"/>
      <c r="P459" s="238"/>
      <c r="Q459" s="238"/>
      <c r="R459" s="238"/>
      <c r="S459" s="238"/>
      <c r="T459" s="238"/>
      <c r="U459" s="240">
        <f>SUM(V459:X459)</f>
        <v>0.29000000000000004</v>
      </c>
      <c r="V459" s="205">
        <v>0.29000000000000004</v>
      </c>
      <c r="W459" s="240"/>
      <c r="X459" s="102"/>
      <c r="Y459" s="102">
        <v>0.05</v>
      </c>
      <c r="Z459" s="102"/>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63" t="s">
        <v>269</v>
      </c>
      <c r="BI459" s="223" t="s">
        <v>91</v>
      </c>
      <c r="BJ459" s="223"/>
      <c r="BK459" s="161" t="s">
        <v>415</v>
      </c>
      <c r="BL459" s="242" t="s">
        <v>202</v>
      </c>
      <c r="BM459" s="226" t="s">
        <v>1026</v>
      </c>
    </row>
    <row r="460" spans="1:65" s="252" customFormat="1" ht="31.5" x14ac:dyDescent="0.25">
      <c r="A460" s="407"/>
      <c r="B460" s="418"/>
      <c r="C460" s="223" t="s">
        <v>95</v>
      </c>
      <c r="D460" s="243" t="s">
        <v>48</v>
      </c>
      <c r="E460" s="20">
        <f t="shared" si="142"/>
        <v>2.1</v>
      </c>
      <c r="F460" s="20"/>
      <c r="G460" s="28">
        <f t="shared" si="143"/>
        <v>2.1</v>
      </c>
      <c r="H460" s="238">
        <v>0.65</v>
      </c>
      <c r="I460" s="238"/>
      <c r="J460" s="238"/>
      <c r="K460" s="238">
        <v>1.1399999999999999</v>
      </c>
      <c r="L460" s="238">
        <v>0.15</v>
      </c>
      <c r="M460" s="238"/>
      <c r="N460" s="238"/>
      <c r="O460" s="238"/>
      <c r="P460" s="238"/>
      <c r="Q460" s="238"/>
      <c r="R460" s="238"/>
      <c r="S460" s="238"/>
      <c r="T460" s="238"/>
      <c r="U460" s="33">
        <f>SUM(V460:X460)</f>
        <v>0.16</v>
      </c>
      <c r="V460" s="206">
        <v>0.16</v>
      </c>
      <c r="W460" s="240"/>
      <c r="X460" s="102"/>
      <c r="Y460" s="102"/>
      <c r="Z460" s="102"/>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63" t="s">
        <v>269</v>
      </c>
      <c r="BI460" s="223" t="s">
        <v>95</v>
      </c>
      <c r="BJ460" s="65"/>
      <c r="BK460" s="161" t="s">
        <v>415</v>
      </c>
      <c r="BL460" s="242" t="s">
        <v>202</v>
      </c>
      <c r="BM460" s="226" t="s">
        <v>1026</v>
      </c>
    </row>
    <row r="461" spans="1:65" s="252" customFormat="1" ht="31.5" x14ac:dyDescent="0.25">
      <c r="A461" s="407"/>
      <c r="B461" s="418"/>
      <c r="C461" s="223" t="s">
        <v>150</v>
      </c>
      <c r="D461" s="243" t="s">
        <v>48</v>
      </c>
      <c r="E461" s="20">
        <f t="shared" si="142"/>
        <v>1.52</v>
      </c>
      <c r="F461" s="20"/>
      <c r="G461" s="28">
        <f t="shared" si="143"/>
        <v>1.52</v>
      </c>
      <c r="H461" s="238">
        <v>0.99</v>
      </c>
      <c r="I461" s="238">
        <v>0.02</v>
      </c>
      <c r="J461" s="238"/>
      <c r="K461" s="238">
        <v>0.06</v>
      </c>
      <c r="L461" s="238">
        <v>0.02</v>
      </c>
      <c r="M461" s="238"/>
      <c r="N461" s="238"/>
      <c r="O461" s="238"/>
      <c r="P461" s="238"/>
      <c r="Q461" s="238"/>
      <c r="R461" s="238"/>
      <c r="S461" s="238"/>
      <c r="T461" s="238"/>
      <c r="U461" s="33">
        <f t="shared" ref="U461:U467" si="145">SUM(V461:X461)</f>
        <v>0.29000000000000004</v>
      </c>
      <c r="V461" s="207">
        <v>0.29000000000000004</v>
      </c>
      <c r="W461" s="240"/>
      <c r="X461" s="102"/>
      <c r="Y461" s="102">
        <v>0.14000000000000001</v>
      </c>
      <c r="Z461" s="102"/>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63" t="s">
        <v>269</v>
      </c>
      <c r="BI461" s="223" t="s">
        <v>150</v>
      </c>
      <c r="BJ461" s="65"/>
      <c r="BK461" s="161" t="s">
        <v>415</v>
      </c>
      <c r="BL461" s="242" t="s">
        <v>202</v>
      </c>
      <c r="BM461" s="226" t="s">
        <v>1026</v>
      </c>
    </row>
    <row r="462" spans="1:65" s="252" customFormat="1" ht="31.5" x14ac:dyDescent="0.25">
      <c r="A462" s="407"/>
      <c r="B462" s="418"/>
      <c r="C462" s="226" t="s">
        <v>154</v>
      </c>
      <c r="D462" s="243" t="s">
        <v>48</v>
      </c>
      <c r="E462" s="28">
        <f t="shared" si="142"/>
        <v>1.83</v>
      </c>
      <c r="F462" s="20"/>
      <c r="G462" s="28">
        <f t="shared" si="143"/>
        <v>1.83</v>
      </c>
      <c r="H462" s="208">
        <v>0.02</v>
      </c>
      <c r="I462" s="208">
        <v>0.04</v>
      </c>
      <c r="J462" s="30"/>
      <c r="K462" s="208">
        <v>0.8</v>
      </c>
      <c r="L462" s="208">
        <v>0.4</v>
      </c>
      <c r="M462" s="30"/>
      <c r="N462" s="30"/>
      <c r="O462" s="30"/>
      <c r="P462" s="30"/>
      <c r="Q462" s="30"/>
      <c r="R462" s="30"/>
      <c r="S462" s="30"/>
      <c r="T462" s="30"/>
      <c r="U462" s="209">
        <f t="shared" si="145"/>
        <v>0.56999999999999995</v>
      </c>
      <c r="V462" s="205">
        <v>0.56999999999999995</v>
      </c>
      <c r="W462" s="210"/>
      <c r="X462" s="150"/>
      <c r="Y462" s="150"/>
      <c r="Z462" s="150"/>
      <c r="AA462" s="150"/>
      <c r="AB462" s="150"/>
      <c r="AC462" s="150"/>
      <c r="AD462" s="150"/>
      <c r="AE462" s="150"/>
      <c r="AF462" s="210"/>
      <c r="AG462" s="150"/>
      <c r="AH462" s="150"/>
      <c r="AI462" s="150"/>
      <c r="AJ462" s="210"/>
      <c r="AK462" s="210"/>
      <c r="AL462" s="210"/>
      <c r="AM462" s="150"/>
      <c r="AN462" s="150"/>
      <c r="AO462" s="150"/>
      <c r="AP462" s="150"/>
      <c r="AQ462" s="150"/>
      <c r="AR462" s="150"/>
      <c r="AS462" s="150"/>
      <c r="AT462" s="150"/>
      <c r="AU462" s="150"/>
      <c r="AV462" s="150"/>
      <c r="AW462" s="150"/>
      <c r="AX462" s="150"/>
      <c r="AY462" s="150"/>
      <c r="AZ462" s="210"/>
      <c r="BA462" s="150"/>
      <c r="BB462" s="150"/>
      <c r="BC462" s="150"/>
      <c r="BD462" s="150"/>
      <c r="BE462" s="150"/>
      <c r="BF462" s="150"/>
      <c r="BG462" s="210"/>
      <c r="BH462" s="63" t="s">
        <v>269</v>
      </c>
      <c r="BI462" s="226" t="s">
        <v>154</v>
      </c>
      <c r="BJ462" s="129"/>
      <c r="BK462" s="161" t="s">
        <v>415</v>
      </c>
      <c r="BL462" s="242" t="s">
        <v>202</v>
      </c>
      <c r="BM462" s="226" t="s">
        <v>1026</v>
      </c>
    </row>
    <row r="463" spans="1:65" s="252" customFormat="1" ht="31.5" x14ac:dyDescent="0.25">
      <c r="A463" s="407"/>
      <c r="B463" s="418"/>
      <c r="C463" s="223" t="s">
        <v>158</v>
      </c>
      <c r="D463" s="243" t="s">
        <v>48</v>
      </c>
      <c r="E463" s="20">
        <f t="shared" si="142"/>
        <v>1.6800000000000002</v>
      </c>
      <c r="F463" s="20"/>
      <c r="G463" s="28">
        <f t="shared" si="143"/>
        <v>1.6800000000000002</v>
      </c>
      <c r="H463" s="238"/>
      <c r="I463" s="238"/>
      <c r="J463" s="238"/>
      <c r="K463" s="238"/>
      <c r="L463" s="238">
        <v>0.8</v>
      </c>
      <c r="M463" s="238"/>
      <c r="N463" s="238"/>
      <c r="O463" s="238"/>
      <c r="P463" s="238"/>
      <c r="Q463" s="238"/>
      <c r="R463" s="238"/>
      <c r="S463" s="238"/>
      <c r="T463" s="238"/>
      <c r="U463" s="33">
        <f t="shared" si="145"/>
        <v>0.88</v>
      </c>
      <c r="V463" s="205">
        <v>0.88</v>
      </c>
      <c r="W463" s="240"/>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63" t="s">
        <v>269</v>
      </c>
      <c r="BI463" s="223" t="s">
        <v>158</v>
      </c>
      <c r="BJ463" s="65"/>
      <c r="BK463" s="161" t="s">
        <v>415</v>
      </c>
      <c r="BL463" s="242" t="s">
        <v>202</v>
      </c>
      <c r="BM463" s="226" t="s">
        <v>1026</v>
      </c>
    </row>
    <row r="464" spans="1:65" s="252" customFormat="1" ht="31.5" x14ac:dyDescent="0.25">
      <c r="A464" s="407"/>
      <c r="B464" s="418"/>
      <c r="C464" s="129" t="s">
        <v>99</v>
      </c>
      <c r="D464" s="243" t="s">
        <v>48</v>
      </c>
      <c r="E464" s="20">
        <f t="shared" si="142"/>
        <v>1.7699999999999998</v>
      </c>
      <c r="F464" s="20"/>
      <c r="G464" s="28">
        <f t="shared" si="143"/>
        <v>1.7699999999999998</v>
      </c>
      <c r="H464" s="222">
        <v>0.42</v>
      </c>
      <c r="I464" s="222">
        <v>0.23</v>
      </c>
      <c r="J464" s="222"/>
      <c r="K464" s="222">
        <v>0.69</v>
      </c>
      <c r="L464" s="222">
        <v>0.15</v>
      </c>
      <c r="M464" s="222"/>
      <c r="N464" s="222"/>
      <c r="O464" s="222"/>
      <c r="P464" s="222"/>
      <c r="Q464" s="222"/>
      <c r="R464" s="222"/>
      <c r="S464" s="222"/>
      <c r="T464" s="222"/>
      <c r="U464" s="33">
        <f t="shared" si="145"/>
        <v>0.28000000000000003</v>
      </c>
      <c r="V464" s="204">
        <v>0.28000000000000003</v>
      </c>
      <c r="W464" s="92"/>
      <c r="X464" s="92"/>
      <c r="Y464" s="92"/>
      <c r="Z464" s="92"/>
      <c r="AA464" s="92"/>
      <c r="AB464" s="92"/>
      <c r="AC464" s="92"/>
      <c r="AD464" s="92"/>
      <c r="AE464" s="92"/>
      <c r="AF464" s="92"/>
      <c r="AG464" s="92"/>
      <c r="AH464" s="54"/>
      <c r="AI464" s="54"/>
      <c r="AJ464" s="54"/>
      <c r="AK464" s="54"/>
      <c r="AL464" s="54"/>
      <c r="AM464" s="92"/>
      <c r="AN464" s="92"/>
      <c r="AO464" s="92"/>
      <c r="AP464" s="92"/>
      <c r="AQ464" s="92"/>
      <c r="AR464" s="92"/>
      <c r="AS464" s="92"/>
      <c r="AT464" s="54"/>
      <c r="AU464" s="54"/>
      <c r="AV464" s="54"/>
      <c r="AW464" s="54"/>
      <c r="AX464" s="54"/>
      <c r="AY464" s="54"/>
      <c r="AZ464" s="54"/>
      <c r="BA464" s="54"/>
      <c r="BB464" s="54"/>
      <c r="BC464" s="54"/>
      <c r="BD464" s="54"/>
      <c r="BE464" s="54"/>
      <c r="BF464" s="54"/>
      <c r="BG464" s="54"/>
      <c r="BH464" s="63" t="s">
        <v>269</v>
      </c>
      <c r="BI464" s="129" t="s">
        <v>99</v>
      </c>
      <c r="BJ464" s="65"/>
      <c r="BK464" s="161" t="s">
        <v>415</v>
      </c>
      <c r="BL464" s="242" t="s">
        <v>202</v>
      </c>
      <c r="BM464" s="226" t="s">
        <v>1026</v>
      </c>
    </row>
    <row r="465" spans="1:65" s="252" customFormat="1" ht="31.5" x14ac:dyDescent="0.25">
      <c r="A465" s="407"/>
      <c r="B465" s="418"/>
      <c r="C465" s="223" t="s">
        <v>106</v>
      </c>
      <c r="D465" s="243" t="s">
        <v>48</v>
      </c>
      <c r="E465" s="78">
        <f t="shared" si="142"/>
        <v>1.34</v>
      </c>
      <c r="F465" s="73"/>
      <c r="G465" s="28">
        <f t="shared" si="143"/>
        <v>1.34</v>
      </c>
      <c r="H465" s="222">
        <v>0.12</v>
      </c>
      <c r="I465" s="222">
        <v>0.12</v>
      </c>
      <c r="J465" s="222"/>
      <c r="K465" s="222">
        <v>0.21</v>
      </c>
      <c r="L465" s="222">
        <v>0.2</v>
      </c>
      <c r="M465" s="222"/>
      <c r="N465" s="222"/>
      <c r="O465" s="222"/>
      <c r="P465" s="222"/>
      <c r="Q465" s="222"/>
      <c r="R465" s="222"/>
      <c r="S465" s="222"/>
      <c r="T465" s="222"/>
      <c r="U465" s="33">
        <f t="shared" si="145"/>
        <v>0.66</v>
      </c>
      <c r="V465" s="204">
        <v>0.66</v>
      </c>
      <c r="W465" s="92"/>
      <c r="X465" s="92"/>
      <c r="Y465" s="92">
        <v>0.03</v>
      </c>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63" t="s">
        <v>269</v>
      </c>
      <c r="BI465" s="223" t="s">
        <v>106</v>
      </c>
      <c r="BJ465" s="223"/>
      <c r="BK465" s="161" t="s">
        <v>415</v>
      </c>
      <c r="BL465" s="242" t="s">
        <v>202</v>
      </c>
      <c r="BM465" s="226" t="s">
        <v>1026</v>
      </c>
    </row>
    <row r="466" spans="1:65" s="252" customFormat="1" ht="31.5" x14ac:dyDescent="0.25">
      <c r="A466" s="407"/>
      <c r="B466" s="418"/>
      <c r="C466" s="223" t="s">
        <v>71</v>
      </c>
      <c r="D466" s="243" t="s">
        <v>48</v>
      </c>
      <c r="E466" s="78">
        <f>F466+G466</f>
        <v>2.4899999999999998</v>
      </c>
      <c r="F466" s="73"/>
      <c r="G466" s="28">
        <f>SUM(H466:M466,Q466,U466,Y466:BG466)</f>
        <v>2.4899999999999998</v>
      </c>
      <c r="H466" s="222">
        <v>0.6</v>
      </c>
      <c r="I466" s="222">
        <v>7.0000000000000007E-2</v>
      </c>
      <c r="J466" s="222"/>
      <c r="K466" s="222">
        <v>0.56999999999999995</v>
      </c>
      <c r="L466" s="222">
        <v>0.6</v>
      </c>
      <c r="M466" s="222"/>
      <c r="N466" s="222"/>
      <c r="O466" s="222"/>
      <c r="P466" s="222"/>
      <c r="Q466" s="222"/>
      <c r="R466" s="222"/>
      <c r="S466" s="222"/>
      <c r="T466" s="222"/>
      <c r="U466" s="33">
        <f t="shared" si="145"/>
        <v>0.55000000000000004</v>
      </c>
      <c r="V466" s="204">
        <v>0.55000000000000004</v>
      </c>
      <c r="W466" s="92"/>
      <c r="X466" s="92"/>
      <c r="Y466" s="92">
        <v>0.1</v>
      </c>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63" t="s">
        <v>269</v>
      </c>
      <c r="BI466" s="223" t="s">
        <v>71</v>
      </c>
      <c r="BJ466" s="223"/>
      <c r="BK466" s="161" t="s">
        <v>415</v>
      </c>
      <c r="BL466" s="242" t="s">
        <v>202</v>
      </c>
      <c r="BM466" s="226" t="s">
        <v>1026</v>
      </c>
    </row>
    <row r="467" spans="1:65" s="252" customFormat="1" ht="31.5" x14ac:dyDescent="0.25">
      <c r="A467" s="407"/>
      <c r="B467" s="418"/>
      <c r="C467" s="223" t="s">
        <v>166</v>
      </c>
      <c r="D467" s="243" t="s">
        <v>48</v>
      </c>
      <c r="E467" s="20">
        <f t="shared" si="142"/>
        <v>2.0300000000000002</v>
      </c>
      <c r="F467" s="20"/>
      <c r="G467" s="28">
        <f>SUM(H467:M467,Q467,U467,Y467:BG467)</f>
        <v>2.0300000000000002</v>
      </c>
      <c r="H467" s="222">
        <v>0.5</v>
      </c>
      <c r="I467" s="222"/>
      <c r="J467" s="222"/>
      <c r="K467" s="222">
        <v>0.33</v>
      </c>
      <c r="L467" s="222">
        <v>0.27</v>
      </c>
      <c r="M467" s="222"/>
      <c r="N467" s="222"/>
      <c r="O467" s="222"/>
      <c r="P467" s="222"/>
      <c r="Q467" s="222"/>
      <c r="R467" s="222"/>
      <c r="S467" s="222"/>
      <c r="T467" s="222"/>
      <c r="U467" s="222">
        <f t="shared" si="145"/>
        <v>0.85000000000000009</v>
      </c>
      <c r="V467" s="205">
        <f>0.91-0.06</f>
        <v>0.85000000000000009</v>
      </c>
      <c r="W467" s="92"/>
      <c r="X467" s="54"/>
      <c r="Y467" s="54">
        <v>0.08</v>
      </c>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63" t="s">
        <v>269</v>
      </c>
      <c r="BI467" s="223" t="s">
        <v>166</v>
      </c>
      <c r="BJ467" s="223"/>
      <c r="BK467" s="161" t="s">
        <v>415</v>
      </c>
      <c r="BL467" s="242" t="s">
        <v>202</v>
      </c>
      <c r="BM467" s="226" t="s">
        <v>1026</v>
      </c>
    </row>
    <row r="468" spans="1:65" s="254" customFormat="1" x14ac:dyDescent="0.25">
      <c r="A468" s="98" t="s">
        <v>330</v>
      </c>
      <c r="B468" s="154" t="s">
        <v>877</v>
      </c>
      <c r="C468" s="58"/>
      <c r="D468" s="44"/>
      <c r="E468" s="59">
        <f t="shared" si="142"/>
        <v>0.02</v>
      </c>
      <c r="F468" s="59">
        <f>SUM(F469:F469)</f>
        <v>0.02</v>
      </c>
      <c r="G468" s="59">
        <f>SUM(G469:G469)</f>
        <v>0</v>
      </c>
      <c r="H468" s="59">
        <f>SUM(H469:H469)</f>
        <v>0</v>
      </c>
      <c r="I468" s="59">
        <f t="shared" ref="I468:BG468" si="146">SUM(I469:I469)</f>
        <v>0</v>
      </c>
      <c r="J468" s="59">
        <f t="shared" si="146"/>
        <v>0</v>
      </c>
      <c r="K468" s="59">
        <f t="shared" si="146"/>
        <v>0</v>
      </c>
      <c r="L468" s="59">
        <f t="shared" si="146"/>
        <v>0</v>
      </c>
      <c r="M468" s="59">
        <f t="shared" si="146"/>
        <v>0</v>
      </c>
      <c r="N468" s="59">
        <f t="shared" si="146"/>
        <v>0</v>
      </c>
      <c r="O468" s="59">
        <f t="shared" si="146"/>
        <v>0</v>
      </c>
      <c r="P468" s="59">
        <f t="shared" si="146"/>
        <v>0</v>
      </c>
      <c r="Q468" s="59">
        <f t="shared" si="146"/>
        <v>0</v>
      </c>
      <c r="R468" s="59">
        <f t="shared" si="146"/>
        <v>0</v>
      </c>
      <c r="S468" s="59">
        <f t="shared" si="146"/>
        <v>0</v>
      </c>
      <c r="T468" s="59">
        <f t="shared" si="146"/>
        <v>0</v>
      </c>
      <c r="U468" s="71">
        <f t="shared" si="146"/>
        <v>0</v>
      </c>
      <c r="V468" s="59">
        <f t="shared" si="146"/>
        <v>0</v>
      </c>
      <c r="W468" s="59">
        <f t="shared" si="146"/>
        <v>0</v>
      </c>
      <c r="X468" s="59">
        <f t="shared" si="146"/>
        <v>0</v>
      </c>
      <c r="Y468" s="59">
        <f t="shared" si="146"/>
        <v>0</v>
      </c>
      <c r="Z468" s="59">
        <f t="shared" si="146"/>
        <v>0</v>
      </c>
      <c r="AA468" s="59">
        <f t="shared" si="146"/>
        <v>0</v>
      </c>
      <c r="AB468" s="59">
        <f t="shared" si="146"/>
        <v>0</v>
      </c>
      <c r="AC468" s="59">
        <f t="shared" si="146"/>
        <v>0</v>
      </c>
      <c r="AD468" s="59">
        <f t="shared" si="146"/>
        <v>0</v>
      </c>
      <c r="AE468" s="59">
        <f t="shared" si="146"/>
        <v>0</v>
      </c>
      <c r="AF468" s="59">
        <f t="shared" si="146"/>
        <v>0</v>
      </c>
      <c r="AG468" s="59">
        <f t="shared" si="146"/>
        <v>0</v>
      </c>
      <c r="AH468" s="59">
        <f t="shared" si="146"/>
        <v>0</v>
      </c>
      <c r="AI468" s="59">
        <f t="shared" si="146"/>
        <v>0</v>
      </c>
      <c r="AJ468" s="59">
        <f t="shared" si="146"/>
        <v>0</v>
      </c>
      <c r="AK468" s="59">
        <f t="shared" si="146"/>
        <v>0</v>
      </c>
      <c r="AL468" s="59">
        <f t="shared" si="146"/>
        <v>0</v>
      </c>
      <c r="AM468" s="59">
        <f t="shared" si="146"/>
        <v>0</v>
      </c>
      <c r="AN468" s="59">
        <f t="shared" si="146"/>
        <v>0</v>
      </c>
      <c r="AO468" s="59">
        <f t="shared" si="146"/>
        <v>0</v>
      </c>
      <c r="AP468" s="59">
        <f t="shared" si="146"/>
        <v>0</v>
      </c>
      <c r="AQ468" s="59">
        <f t="shared" si="146"/>
        <v>0</v>
      </c>
      <c r="AR468" s="59">
        <f t="shared" si="146"/>
        <v>0</v>
      </c>
      <c r="AS468" s="59">
        <f t="shared" si="146"/>
        <v>0</v>
      </c>
      <c r="AT468" s="59">
        <f t="shared" si="146"/>
        <v>0</v>
      </c>
      <c r="AU468" s="59">
        <f t="shared" si="146"/>
        <v>0</v>
      </c>
      <c r="AV468" s="59">
        <f t="shared" si="146"/>
        <v>0</v>
      </c>
      <c r="AW468" s="59">
        <f t="shared" si="146"/>
        <v>0</v>
      </c>
      <c r="AX468" s="59">
        <f t="shared" si="146"/>
        <v>0</v>
      </c>
      <c r="AY468" s="59">
        <f t="shared" si="146"/>
        <v>0</v>
      </c>
      <c r="AZ468" s="59">
        <f t="shared" si="146"/>
        <v>0</v>
      </c>
      <c r="BA468" s="59">
        <f t="shared" si="146"/>
        <v>0</v>
      </c>
      <c r="BB468" s="59">
        <f t="shared" si="146"/>
        <v>0</v>
      </c>
      <c r="BC468" s="59">
        <f t="shared" si="146"/>
        <v>0</v>
      </c>
      <c r="BD468" s="59">
        <f t="shared" si="146"/>
        <v>0</v>
      </c>
      <c r="BE468" s="59">
        <f t="shared" si="146"/>
        <v>0</v>
      </c>
      <c r="BF468" s="59">
        <f t="shared" si="146"/>
        <v>0</v>
      </c>
      <c r="BG468" s="59">
        <f t="shared" si="146"/>
        <v>0</v>
      </c>
      <c r="BH468" s="231"/>
      <c r="BI468" s="58"/>
      <c r="BJ468" s="58"/>
      <c r="BK468" s="228"/>
      <c r="BL468" s="156"/>
      <c r="BM468" s="156"/>
    </row>
    <row r="469" spans="1:65" s="252" customFormat="1" ht="78.75" x14ac:dyDescent="0.25">
      <c r="A469" s="215">
        <f>A452+1</f>
        <v>264</v>
      </c>
      <c r="B469" s="217" t="s">
        <v>878</v>
      </c>
      <c r="C469" s="226" t="s">
        <v>71</v>
      </c>
      <c r="D469" s="243" t="s">
        <v>48</v>
      </c>
      <c r="E469" s="20">
        <f t="shared" si="142"/>
        <v>0.02</v>
      </c>
      <c r="F469" s="20">
        <v>0.02</v>
      </c>
      <c r="G469" s="30">
        <f>SUM(H469:M469,Q469,U469,Y469:BG469)</f>
        <v>0</v>
      </c>
      <c r="H469" s="238"/>
      <c r="I469" s="238"/>
      <c r="J469" s="238"/>
      <c r="K469" s="238"/>
      <c r="L469" s="238"/>
      <c r="M469" s="238"/>
      <c r="N469" s="238"/>
      <c r="O469" s="238"/>
      <c r="P469" s="238"/>
      <c r="Q469" s="238"/>
      <c r="R469" s="238"/>
      <c r="S469" s="238"/>
      <c r="T469" s="238"/>
      <c r="U469" s="238"/>
      <c r="V469" s="238"/>
      <c r="W469" s="238"/>
      <c r="X469" s="238"/>
      <c r="Y469" s="238"/>
      <c r="Z469" s="238"/>
      <c r="AA469" s="238"/>
      <c r="AB469" s="238"/>
      <c r="AC469" s="238"/>
      <c r="AD469" s="238"/>
      <c r="AE469" s="238"/>
      <c r="AF469" s="238"/>
      <c r="AG469" s="238"/>
      <c r="AH469" s="238"/>
      <c r="AI469" s="238"/>
      <c r="AJ469" s="238"/>
      <c r="AK469" s="238"/>
      <c r="AL469" s="238"/>
      <c r="AM469" s="238"/>
      <c r="AN469" s="238"/>
      <c r="AO469" s="238"/>
      <c r="AP469" s="238"/>
      <c r="AQ469" s="238"/>
      <c r="AR469" s="238"/>
      <c r="AS469" s="238"/>
      <c r="AT469" s="238"/>
      <c r="AU469" s="238"/>
      <c r="AV469" s="238"/>
      <c r="AW469" s="238"/>
      <c r="AX469" s="238"/>
      <c r="AY469" s="238"/>
      <c r="AZ469" s="238"/>
      <c r="BA469" s="238"/>
      <c r="BB469" s="238"/>
      <c r="BC469" s="238"/>
      <c r="BD469" s="238"/>
      <c r="BE469" s="238"/>
      <c r="BF469" s="238"/>
      <c r="BG469" s="238"/>
      <c r="BH469" s="235" t="s">
        <v>879</v>
      </c>
      <c r="BI469" s="226" t="s">
        <v>71</v>
      </c>
      <c r="BJ469" s="226" t="s">
        <v>880</v>
      </c>
      <c r="BK469" s="241" t="s">
        <v>68</v>
      </c>
      <c r="BL469" s="246" t="s">
        <v>205</v>
      </c>
      <c r="BM469" s="242" t="s">
        <v>206</v>
      </c>
    </row>
    <row r="470" spans="1:65" s="252" customFormat="1" x14ac:dyDescent="0.25">
      <c r="A470" s="56" t="s">
        <v>881</v>
      </c>
      <c r="B470" s="43" t="s">
        <v>882</v>
      </c>
      <c r="C470" s="98"/>
      <c r="D470" s="44" t="s">
        <v>50</v>
      </c>
      <c r="E470" s="69">
        <f t="shared" si="142"/>
        <v>9.819999999999995</v>
      </c>
      <c r="F470" s="72">
        <f>SUM(F471:F501)</f>
        <v>0.74</v>
      </c>
      <c r="G470" s="72">
        <f>SUM(G471:G501)</f>
        <v>9.0799999999999947</v>
      </c>
      <c r="H470" s="72">
        <f>SUM(H471:H501)</f>
        <v>1.3100000000000003</v>
      </c>
      <c r="I470" s="72">
        <f t="shared" ref="I470:BG470" si="147">SUM(I471:I501)</f>
        <v>0.81</v>
      </c>
      <c r="J470" s="72">
        <f t="shared" si="147"/>
        <v>0</v>
      </c>
      <c r="K470" s="72">
        <f t="shared" si="147"/>
        <v>1.25</v>
      </c>
      <c r="L470" s="72">
        <f t="shared" si="147"/>
        <v>0.59000000000000008</v>
      </c>
      <c r="M470" s="72">
        <f t="shared" si="147"/>
        <v>0</v>
      </c>
      <c r="N470" s="72">
        <f t="shared" si="147"/>
        <v>0</v>
      </c>
      <c r="O470" s="72">
        <f t="shared" si="147"/>
        <v>0</v>
      </c>
      <c r="P470" s="72">
        <f t="shared" si="147"/>
        <v>0</v>
      </c>
      <c r="Q470" s="72">
        <f t="shared" si="147"/>
        <v>0</v>
      </c>
      <c r="R470" s="72">
        <f t="shared" si="147"/>
        <v>0</v>
      </c>
      <c r="S470" s="72">
        <f t="shared" si="147"/>
        <v>0</v>
      </c>
      <c r="T470" s="72">
        <f t="shared" si="147"/>
        <v>0</v>
      </c>
      <c r="U470" s="165">
        <f t="shared" si="147"/>
        <v>3.62</v>
      </c>
      <c r="V470" s="72">
        <f t="shared" si="147"/>
        <v>2.21</v>
      </c>
      <c r="W470" s="72">
        <f t="shared" si="147"/>
        <v>0.26</v>
      </c>
      <c r="X470" s="72">
        <f t="shared" si="147"/>
        <v>1.1500000000000001</v>
      </c>
      <c r="Y470" s="72">
        <f t="shared" si="147"/>
        <v>0.03</v>
      </c>
      <c r="Z470" s="72">
        <f t="shared" si="147"/>
        <v>0</v>
      </c>
      <c r="AA470" s="72">
        <f t="shared" si="147"/>
        <v>0</v>
      </c>
      <c r="AB470" s="72">
        <f t="shared" si="147"/>
        <v>0</v>
      </c>
      <c r="AC470" s="72">
        <f t="shared" si="147"/>
        <v>0</v>
      </c>
      <c r="AD470" s="72">
        <f t="shared" si="147"/>
        <v>0</v>
      </c>
      <c r="AE470" s="72">
        <f t="shared" si="147"/>
        <v>0</v>
      </c>
      <c r="AF470" s="72">
        <f t="shared" si="147"/>
        <v>0.5</v>
      </c>
      <c r="AG470" s="72">
        <f t="shared" si="147"/>
        <v>0.02</v>
      </c>
      <c r="AH470" s="72">
        <f t="shared" si="147"/>
        <v>0</v>
      </c>
      <c r="AI470" s="72">
        <f t="shared" si="147"/>
        <v>0.04</v>
      </c>
      <c r="AJ470" s="72">
        <f t="shared" si="147"/>
        <v>0</v>
      </c>
      <c r="AK470" s="72">
        <f t="shared" si="147"/>
        <v>7.0000000000000007E-2</v>
      </c>
      <c r="AL470" s="72">
        <f t="shared" si="147"/>
        <v>0</v>
      </c>
      <c r="AM470" s="72">
        <f t="shared" si="147"/>
        <v>0</v>
      </c>
      <c r="AN470" s="72">
        <f t="shared" si="147"/>
        <v>0</v>
      </c>
      <c r="AO470" s="72">
        <f t="shared" si="147"/>
        <v>0</v>
      </c>
      <c r="AP470" s="72">
        <f t="shared" si="147"/>
        <v>0</v>
      </c>
      <c r="AQ470" s="72">
        <f t="shared" si="147"/>
        <v>0</v>
      </c>
      <c r="AR470" s="72">
        <f t="shared" si="147"/>
        <v>0</v>
      </c>
      <c r="AS470" s="72">
        <f t="shared" si="147"/>
        <v>0</v>
      </c>
      <c r="AT470" s="72">
        <f t="shared" si="147"/>
        <v>0.05</v>
      </c>
      <c r="AU470" s="72">
        <f t="shared" si="147"/>
        <v>0</v>
      </c>
      <c r="AV470" s="72">
        <f t="shared" si="147"/>
        <v>0</v>
      </c>
      <c r="AW470" s="72">
        <f t="shared" si="147"/>
        <v>0</v>
      </c>
      <c r="AX470" s="72">
        <f t="shared" si="147"/>
        <v>0</v>
      </c>
      <c r="AY470" s="72">
        <f t="shared" si="147"/>
        <v>0</v>
      </c>
      <c r="AZ470" s="72">
        <f t="shared" si="147"/>
        <v>0</v>
      </c>
      <c r="BA470" s="72">
        <f t="shared" si="147"/>
        <v>0</v>
      </c>
      <c r="BB470" s="72">
        <f t="shared" si="147"/>
        <v>0</v>
      </c>
      <c r="BC470" s="72">
        <f t="shared" si="147"/>
        <v>0</v>
      </c>
      <c r="BD470" s="72">
        <f t="shared" si="147"/>
        <v>0.13</v>
      </c>
      <c r="BE470" s="72">
        <f t="shared" si="147"/>
        <v>0</v>
      </c>
      <c r="BF470" s="72">
        <f t="shared" si="147"/>
        <v>0</v>
      </c>
      <c r="BG470" s="72">
        <f t="shared" si="147"/>
        <v>0.66</v>
      </c>
      <c r="BH470" s="231"/>
      <c r="BI470" s="98"/>
      <c r="BJ470" s="98"/>
      <c r="BK470" s="122"/>
      <c r="BL470" s="218"/>
      <c r="BM470" s="44"/>
    </row>
    <row r="471" spans="1:65" s="252" customFormat="1" ht="47.25" x14ac:dyDescent="0.25">
      <c r="A471" s="245">
        <f>A469+1</f>
        <v>265</v>
      </c>
      <c r="B471" s="221" t="s">
        <v>883</v>
      </c>
      <c r="C471" s="90" t="s">
        <v>65</v>
      </c>
      <c r="D471" s="218" t="s">
        <v>50</v>
      </c>
      <c r="E471" s="28">
        <f>F471+G471</f>
        <v>2.5799999999999996</v>
      </c>
      <c r="F471" s="21"/>
      <c r="G471" s="28">
        <f>SUM(H471:M471,Q471,U471,Y471:BG471)</f>
        <v>2.5799999999999996</v>
      </c>
      <c r="H471" s="62"/>
      <c r="I471" s="62">
        <v>0.5</v>
      </c>
      <c r="J471" s="62"/>
      <c r="K471" s="62"/>
      <c r="L471" s="62">
        <v>0.09</v>
      </c>
      <c r="M471" s="62"/>
      <c r="N471" s="62"/>
      <c r="O471" s="62"/>
      <c r="P471" s="62"/>
      <c r="Q471" s="62"/>
      <c r="R471" s="62"/>
      <c r="S471" s="62"/>
      <c r="T471" s="62"/>
      <c r="U471" s="33">
        <f>SUM(V471:X471)</f>
        <v>1.73</v>
      </c>
      <c r="V471" s="49">
        <f>1.2-0.5+0.1-0.07</f>
        <v>0.73</v>
      </c>
      <c r="W471" s="49"/>
      <c r="X471" s="62">
        <v>1</v>
      </c>
      <c r="Y471" s="62"/>
      <c r="Z471" s="62"/>
      <c r="AA471" s="62"/>
      <c r="AB471" s="62"/>
      <c r="AC471" s="62"/>
      <c r="AD471" s="62"/>
      <c r="AE471" s="62"/>
      <c r="AF471" s="62">
        <v>0.05</v>
      </c>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v>0.11</v>
      </c>
      <c r="BE471" s="62"/>
      <c r="BF471" s="62"/>
      <c r="BG471" s="62">
        <v>0.1</v>
      </c>
      <c r="BH471" s="235" t="s">
        <v>311</v>
      </c>
      <c r="BI471" s="90" t="s">
        <v>65</v>
      </c>
      <c r="BJ471" s="218" t="s">
        <v>884</v>
      </c>
      <c r="BK471" s="66" t="s">
        <v>398</v>
      </c>
      <c r="BL471" s="218" t="s">
        <v>862</v>
      </c>
      <c r="BM471" s="226" t="s">
        <v>1026</v>
      </c>
    </row>
    <row r="472" spans="1:65" s="252" customFormat="1" ht="31.5" x14ac:dyDescent="0.25">
      <c r="A472" s="249">
        <f>A471+1</f>
        <v>266</v>
      </c>
      <c r="B472" s="237" t="s">
        <v>885</v>
      </c>
      <c r="C472" s="223" t="s">
        <v>65</v>
      </c>
      <c r="D472" s="243" t="s">
        <v>50</v>
      </c>
      <c r="E472" s="28">
        <f>F472+G472</f>
        <v>0.5</v>
      </c>
      <c r="F472" s="28"/>
      <c r="G472" s="28">
        <f t="shared" ref="G472:G501" si="148">SUM(H472:M472,Q472,U472,Y472:BG472)</f>
        <v>0.5</v>
      </c>
      <c r="H472" s="222">
        <v>0.33</v>
      </c>
      <c r="I472" s="222">
        <v>0.15</v>
      </c>
      <c r="J472" s="222"/>
      <c r="K472" s="222"/>
      <c r="L472" s="222"/>
      <c r="M472" s="222"/>
      <c r="N472" s="222"/>
      <c r="O472" s="222"/>
      <c r="P472" s="222"/>
      <c r="Q472" s="222"/>
      <c r="R472" s="222"/>
      <c r="S472" s="222"/>
      <c r="T472" s="222"/>
      <c r="U472" s="222">
        <f>SUM(V472:X472)</f>
        <v>0</v>
      </c>
      <c r="V472" s="222"/>
      <c r="W472" s="222"/>
      <c r="X472" s="222"/>
      <c r="Y472" s="222"/>
      <c r="Z472" s="222"/>
      <c r="AA472" s="222"/>
      <c r="AB472" s="222"/>
      <c r="AC472" s="222"/>
      <c r="AD472" s="222"/>
      <c r="AE472" s="222"/>
      <c r="AF472" s="222">
        <v>0.02</v>
      </c>
      <c r="AG472" s="235"/>
      <c r="AH472" s="235"/>
      <c r="AI472" s="235"/>
      <c r="AJ472" s="235"/>
      <c r="AK472" s="235"/>
      <c r="AL472" s="235"/>
      <c r="AM472" s="235"/>
      <c r="AN472" s="235"/>
      <c r="AO472" s="235"/>
      <c r="AP472" s="235"/>
      <c r="AQ472" s="235"/>
      <c r="AR472" s="235"/>
      <c r="AS472" s="235"/>
      <c r="AT472" s="235"/>
      <c r="AU472" s="235"/>
      <c r="AV472" s="235"/>
      <c r="AW472" s="235"/>
      <c r="AX472" s="235"/>
      <c r="AY472" s="235"/>
      <c r="AZ472" s="235"/>
      <c r="BA472" s="235"/>
      <c r="BB472" s="235"/>
      <c r="BC472" s="235"/>
      <c r="BD472" s="235"/>
      <c r="BE472" s="235"/>
      <c r="BF472" s="235"/>
      <c r="BG472" s="235"/>
      <c r="BH472" s="235" t="s">
        <v>311</v>
      </c>
      <c r="BI472" s="223" t="s">
        <v>65</v>
      </c>
      <c r="BJ472" s="243" t="s">
        <v>886</v>
      </c>
      <c r="BK472" s="241" t="s">
        <v>68</v>
      </c>
      <c r="BL472" s="218" t="s">
        <v>887</v>
      </c>
      <c r="BM472" s="232" t="s">
        <v>1026</v>
      </c>
    </row>
    <row r="473" spans="1:65" s="252" customFormat="1" ht="31.5" x14ac:dyDescent="0.25">
      <c r="A473" s="245">
        <f>A472+1</f>
        <v>267</v>
      </c>
      <c r="B473" s="221" t="s">
        <v>888</v>
      </c>
      <c r="C473" s="90" t="s">
        <v>65</v>
      </c>
      <c r="D473" s="218" t="s">
        <v>50</v>
      </c>
      <c r="E473" s="28">
        <f t="shared" si="142"/>
        <v>0.4</v>
      </c>
      <c r="F473" s="20"/>
      <c r="G473" s="28">
        <f t="shared" si="148"/>
        <v>0.4</v>
      </c>
      <c r="H473" s="222"/>
      <c r="I473" s="222"/>
      <c r="J473" s="222"/>
      <c r="K473" s="222"/>
      <c r="L473" s="222"/>
      <c r="M473" s="222"/>
      <c r="N473" s="222"/>
      <c r="O473" s="222"/>
      <c r="P473" s="222"/>
      <c r="Q473" s="222"/>
      <c r="R473" s="222"/>
      <c r="S473" s="222"/>
      <c r="T473" s="222"/>
      <c r="U473" s="222">
        <f>SUM(V473:X473)</f>
        <v>0.22</v>
      </c>
      <c r="V473" s="222">
        <v>0.22</v>
      </c>
      <c r="W473" s="222"/>
      <c r="X473" s="222"/>
      <c r="Y473" s="222"/>
      <c r="Z473" s="222"/>
      <c r="AA473" s="222"/>
      <c r="AB473" s="222"/>
      <c r="AC473" s="222"/>
      <c r="AD473" s="222"/>
      <c r="AE473" s="222"/>
      <c r="AF473" s="222">
        <v>0.04</v>
      </c>
      <c r="AG473" s="235"/>
      <c r="AH473" s="235"/>
      <c r="AI473" s="235"/>
      <c r="AJ473" s="235"/>
      <c r="AK473" s="235"/>
      <c r="AL473" s="235"/>
      <c r="AM473" s="235"/>
      <c r="AN473" s="235"/>
      <c r="AO473" s="235"/>
      <c r="AP473" s="235"/>
      <c r="AQ473" s="235"/>
      <c r="AR473" s="235"/>
      <c r="AS473" s="235"/>
      <c r="AT473" s="235"/>
      <c r="AU473" s="235"/>
      <c r="AV473" s="235"/>
      <c r="AW473" s="235"/>
      <c r="AX473" s="235"/>
      <c r="AY473" s="235"/>
      <c r="AZ473" s="235"/>
      <c r="BA473" s="235"/>
      <c r="BB473" s="235"/>
      <c r="BC473" s="235"/>
      <c r="BD473" s="235">
        <v>0.02</v>
      </c>
      <c r="BE473" s="235"/>
      <c r="BF473" s="235"/>
      <c r="BG473" s="235">
        <v>0.12</v>
      </c>
      <c r="BH473" s="235" t="s">
        <v>311</v>
      </c>
      <c r="BI473" s="90" t="s">
        <v>65</v>
      </c>
      <c r="BJ473" s="243" t="s">
        <v>889</v>
      </c>
      <c r="BK473" s="66" t="s">
        <v>415</v>
      </c>
      <c r="BL473" s="218" t="s">
        <v>890</v>
      </c>
      <c r="BM473" s="226" t="s">
        <v>206</v>
      </c>
    </row>
    <row r="474" spans="1:65" s="253" customFormat="1" ht="31.5" x14ac:dyDescent="0.25">
      <c r="A474" s="249">
        <f>A473+1</f>
        <v>268</v>
      </c>
      <c r="B474" s="162" t="s">
        <v>891</v>
      </c>
      <c r="C474" s="226" t="s">
        <v>122</v>
      </c>
      <c r="D474" s="243" t="s">
        <v>50</v>
      </c>
      <c r="E474" s="28">
        <v>0.33</v>
      </c>
      <c r="F474" s="21"/>
      <c r="G474" s="28">
        <f t="shared" si="148"/>
        <v>0.33000000000000007</v>
      </c>
      <c r="H474" s="222">
        <v>0.05</v>
      </c>
      <c r="I474" s="222">
        <v>0.15</v>
      </c>
      <c r="J474" s="222"/>
      <c r="K474" s="222">
        <v>0.1</v>
      </c>
      <c r="L474" s="222"/>
      <c r="M474" s="222"/>
      <c r="N474" s="222"/>
      <c r="O474" s="222"/>
      <c r="P474" s="222"/>
      <c r="Q474" s="222"/>
      <c r="R474" s="222"/>
      <c r="S474" s="222"/>
      <c r="T474" s="222"/>
      <c r="U474" s="222"/>
      <c r="V474" s="222"/>
      <c r="W474" s="222"/>
      <c r="X474" s="222"/>
      <c r="Y474" s="222"/>
      <c r="Z474" s="222"/>
      <c r="AA474" s="222"/>
      <c r="AB474" s="222"/>
      <c r="AC474" s="222"/>
      <c r="AD474" s="222"/>
      <c r="AE474" s="222"/>
      <c r="AF474" s="222">
        <v>0.03</v>
      </c>
      <c r="AG474" s="235"/>
      <c r="AH474" s="235"/>
      <c r="AI474" s="235"/>
      <c r="AJ474" s="235"/>
      <c r="AK474" s="235"/>
      <c r="AL474" s="235"/>
      <c r="AM474" s="235"/>
      <c r="AN474" s="235"/>
      <c r="AO474" s="235"/>
      <c r="AP474" s="235"/>
      <c r="AQ474" s="235"/>
      <c r="AR474" s="235"/>
      <c r="AS474" s="235"/>
      <c r="AT474" s="235"/>
      <c r="AU474" s="235"/>
      <c r="AV474" s="235"/>
      <c r="AW474" s="235"/>
      <c r="AX474" s="235"/>
      <c r="AY474" s="235"/>
      <c r="AZ474" s="235"/>
      <c r="BA474" s="235"/>
      <c r="BB474" s="235"/>
      <c r="BC474" s="235"/>
      <c r="BD474" s="235"/>
      <c r="BE474" s="235"/>
      <c r="BF474" s="235"/>
      <c r="BG474" s="235"/>
      <c r="BH474" s="235" t="s">
        <v>123</v>
      </c>
      <c r="BI474" s="226" t="s">
        <v>122</v>
      </c>
      <c r="BJ474" s="238" t="s">
        <v>892</v>
      </c>
      <c r="BK474" s="66" t="s">
        <v>398</v>
      </c>
      <c r="BL474" s="238" t="s">
        <v>202</v>
      </c>
      <c r="BM474" s="226" t="s">
        <v>1026</v>
      </c>
    </row>
    <row r="475" spans="1:65" s="252" customFormat="1" ht="31.5" x14ac:dyDescent="0.25">
      <c r="A475" s="249">
        <f t="shared" ref="A475:A480" si="149">A474+1</f>
        <v>269</v>
      </c>
      <c r="B475" s="162" t="s">
        <v>893</v>
      </c>
      <c r="C475" s="219" t="s">
        <v>106</v>
      </c>
      <c r="D475" s="243" t="s">
        <v>50</v>
      </c>
      <c r="E475" s="28">
        <f>F475+G475</f>
        <v>0.3</v>
      </c>
      <c r="F475" s="21"/>
      <c r="G475" s="28">
        <f t="shared" si="148"/>
        <v>0.3</v>
      </c>
      <c r="H475" s="222"/>
      <c r="I475" s="222"/>
      <c r="J475" s="222"/>
      <c r="K475" s="222"/>
      <c r="L475" s="222"/>
      <c r="M475" s="222"/>
      <c r="N475" s="222"/>
      <c r="O475" s="222"/>
      <c r="P475" s="222"/>
      <c r="Q475" s="222"/>
      <c r="R475" s="222"/>
      <c r="S475" s="222"/>
      <c r="T475" s="222"/>
      <c r="U475" s="222">
        <f>SUM(V475:X475)</f>
        <v>0.3</v>
      </c>
      <c r="V475" s="222">
        <v>0.3</v>
      </c>
      <c r="W475" s="222"/>
      <c r="X475" s="222"/>
      <c r="Y475" s="222"/>
      <c r="Z475" s="222"/>
      <c r="AA475" s="222"/>
      <c r="AB475" s="222"/>
      <c r="AC475" s="222"/>
      <c r="AD475" s="222"/>
      <c r="AE475" s="222"/>
      <c r="AF475" s="222"/>
      <c r="AG475" s="235"/>
      <c r="AH475" s="235"/>
      <c r="AI475" s="235"/>
      <c r="AJ475" s="235"/>
      <c r="AK475" s="235"/>
      <c r="AL475" s="235"/>
      <c r="AM475" s="235"/>
      <c r="AN475" s="235"/>
      <c r="AO475" s="235"/>
      <c r="AP475" s="235"/>
      <c r="AQ475" s="235"/>
      <c r="AR475" s="235"/>
      <c r="AS475" s="235"/>
      <c r="AT475" s="235"/>
      <c r="AU475" s="235"/>
      <c r="AV475" s="235"/>
      <c r="AW475" s="235"/>
      <c r="AX475" s="235"/>
      <c r="AY475" s="235"/>
      <c r="AZ475" s="235"/>
      <c r="BA475" s="235"/>
      <c r="BB475" s="235"/>
      <c r="BC475" s="235"/>
      <c r="BD475" s="235"/>
      <c r="BE475" s="235"/>
      <c r="BF475" s="235"/>
      <c r="BG475" s="235"/>
      <c r="BH475" s="235" t="s">
        <v>107</v>
      </c>
      <c r="BI475" s="219" t="s">
        <v>106</v>
      </c>
      <c r="BJ475" s="219" t="s">
        <v>894</v>
      </c>
      <c r="BK475" s="241" t="s">
        <v>120</v>
      </c>
      <c r="BL475" s="238" t="s">
        <v>202</v>
      </c>
      <c r="BM475" s="226" t="s">
        <v>1026</v>
      </c>
    </row>
    <row r="476" spans="1:65" s="252" customFormat="1" x14ac:dyDescent="0.25">
      <c r="A476" s="249">
        <f t="shared" si="149"/>
        <v>270</v>
      </c>
      <c r="B476" s="162" t="s">
        <v>895</v>
      </c>
      <c r="C476" s="223" t="s">
        <v>142</v>
      </c>
      <c r="D476" s="243" t="s">
        <v>50</v>
      </c>
      <c r="E476" s="28">
        <f>F476+G476</f>
        <v>0.3</v>
      </c>
      <c r="F476" s="20"/>
      <c r="G476" s="28">
        <f t="shared" si="148"/>
        <v>0.3</v>
      </c>
      <c r="H476" s="30">
        <v>0.24</v>
      </c>
      <c r="I476" s="30"/>
      <c r="J476" s="30"/>
      <c r="K476" s="30">
        <v>0.04</v>
      </c>
      <c r="L476" s="30"/>
      <c r="M476" s="30"/>
      <c r="N476" s="30"/>
      <c r="O476" s="30"/>
      <c r="P476" s="30"/>
      <c r="Q476" s="30"/>
      <c r="R476" s="30"/>
      <c r="S476" s="30"/>
      <c r="T476" s="30"/>
      <c r="U476" s="222"/>
      <c r="V476" s="30"/>
      <c r="W476" s="30"/>
      <c r="X476" s="30"/>
      <c r="Y476" s="30"/>
      <c r="Z476" s="30"/>
      <c r="AA476" s="30"/>
      <c r="AB476" s="30"/>
      <c r="AC476" s="30"/>
      <c r="AD476" s="30"/>
      <c r="AE476" s="30"/>
      <c r="AF476" s="30">
        <v>0.02</v>
      </c>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35" t="s">
        <v>896</v>
      </c>
      <c r="BI476" s="223" t="s">
        <v>142</v>
      </c>
      <c r="BJ476" s="243" t="s">
        <v>897</v>
      </c>
      <c r="BK476" s="66" t="s">
        <v>398</v>
      </c>
      <c r="BL476" s="238" t="s">
        <v>202</v>
      </c>
      <c r="BM476" s="243" t="s">
        <v>206</v>
      </c>
    </row>
    <row r="477" spans="1:65" s="252" customFormat="1" ht="31.5" x14ac:dyDescent="0.25">
      <c r="A477" s="249">
        <f t="shared" si="149"/>
        <v>271</v>
      </c>
      <c r="B477" s="162" t="s">
        <v>898</v>
      </c>
      <c r="C477" s="219" t="s">
        <v>166</v>
      </c>
      <c r="D477" s="243" t="s">
        <v>50</v>
      </c>
      <c r="E477" s="28">
        <f>F477+G477</f>
        <v>0.64000000000000012</v>
      </c>
      <c r="F477" s="91"/>
      <c r="G477" s="28">
        <f t="shared" si="148"/>
        <v>0.64000000000000012</v>
      </c>
      <c r="H477" s="222">
        <v>0.23</v>
      </c>
      <c r="I477" s="222"/>
      <c r="J477" s="222"/>
      <c r="K477" s="222">
        <v>0.04</v>
      </c>
      <c r="L477" s="222">
        <v>0.08</v>
      </c>
      <c r="M477" s="222"/>
      <c r="N477" s="50"/>
      <c r="O477" s="50"/>
      <c r="P477" s="50"/>
      <c r="Q477" s="50"/>
      <c r="R477" s="50"/>
      <c r="S477" s="50"/>
      <c r="T477" s="50"/>
      <c r="U477" s="222">
        <f>SUM(V477:X477)</f>
        <v>0.1</v>
      </c>
      <c r="V477" s="222">
        <v>0.1</v>
      </c>
      <c r="W477" s="222"/>
      <c r="X477" s="222"/>
      <c r="Y477" s="50"/>
      <c r="Z477" s="222"/>
      <c r="AA477" s="222"/>
      <c r="AB477" s="222"/>
      <c r="AC477" s="222"/>
      <c r="AD477" s="222"/>
      <c r="AE477" s="222"/>
      <c r="AF477" s="222">
        <v>0.02</v>
      </c>
      <c r="AG477" s="235">
        <v>0.02</v>
      </c>
      <c r="AH477" s="235"/>
      <c r="AI477" s="235"/>
      <c r="AJ477" s="235"/>
      <c r="AK477" s="235"/>
      <c r="AL477" s="235"/>
      <c r="AM477" s="235"/>
      <c r="AN477" s="235"/>
      <c r="AO477" s="235"/>
      <c r="AP477" s="235"/>
      <c r="AQ477" s="235"/>
      <c r="AR477" s="235"/>
      <c r="AS477" s="235"/>
      <c r="AT477" s="235"/>
      <c r="AU477" s="235"/>
      <c r="AV477" s="235"/>
      <c r="AW477" s="235"/>
      <c r="AX477" s="235"/>
      <c r="AY477" s="235"/>
      <c r="AZ477" s="235"/>
      <c r="BA477" s="235"/>
      <c r="BB477" s="235"/>
      <c r="BC477" s="235"/>
      <c r="BD477" s="235"/>
      <c r="BE477" s="235"/>
      <c r="BF477" s="235"/>
      <c r="BG477" s="235">
        <v>0.15</v>
      </c>
      <c r="BH477" s="235" t="s">
        <v>167</v>
      </c>
      <c r="BI477" s="219" t="s">
        <v>166</v>
      </c>
      <c r="BJ477" s="226" t="s">
        <v>899</v>
      </c>
      <c r="BK477" s="241" t="s">
        <v>68</v>
      </c>
      <c r="BL477" s="218" t="s">
        <v>900</v>
      </c>
      <c r="BM477" s="226" t="s">
        <v>1026</v>
      </c>
    </row>
    <row r="478" spans="1:65" s="252" customFormat="1" ht="31.5" x14ac:dyDescent="0.25">
      <c r="A478" s="249">
        <f t="shared" si="149"/>
        <v>272</v>
      </c>
      <c r="B478" s="162" t="s">
        <v>901</v>
      </c>
      <c r="C478" s="219" t="s">
        <v>134</v>
      </c>
      <c r="D478" s="243" t="s">
        <v>50</v>
      </c>
      <c r="E478" s="28">
        <f>F478+G478</f>
        <v>0.21</v>
      </c>
      <c r="F478" s="21">
        <v>0.18</v>
      </c>
      <c r="G478" s="28">
        <f t="shared" si="148"/>
        <v>0.03</v>
      </c>
      <c r="H478" s="222"/>
      <c r="I478" s="222"/>
      <c r="J478" s="222"/>
      <c r="K478" s="222"/>
      <c r="L478" s="222"/>
      <c r="M478" s="222"/>
      <c r="N478" s="222"/>
      <c r="O478" s="222"/>
      <c r="P478" s="222"/>
      <c r="Q478" s="222"/>
      <c r="R478" s="222"/>
      <c r="S478" s="222"/>
      <c r="T478" s="222"/>
      <c r="U478" s="222">
        <f>SUM(V478:X478)</f>
        <v>0.03</v>
      </c>
      <c r="V478" s="222">
        <v>0.03</v>
      </c>
      <c r="W478" s="222"/>
      <c r="X478" s="222"/>
      <c r="Y478" s="222"/>
      <c r="Z478" s="222"/>
      <c r="AA478" s="222"/>
      <c r="AB478" s="222"/>
      <c r="AC478" s="222"/>
      <c r="AD478" s="222"/>
      <c r="AE478" s="222"/>
      <c r="AF478" s="222"/>
      <c r="AG478" s="235"/>
      <c r="AH478" s="235"/>
      <c r="AI478" s="235"/>
      <c r="AJ478" s="235"/>
      <c r="AK478" s="235"/>
      <c r="AL478" s="235"/>
      <c r="AM478" s="235"/>
      <c r="AN478" s="235"/>
      <c r="AO478" s="235"/>
      <c r="AP478" s="235"/>
      <c r="AQ478" s="235"/>
      <c r="AR478" s="235"/>
      <c r="AS478" s="235"/>
      <c r="AT478" s="235"/>
      <c r="AU478" s="235"/>
      <c r="AV478" s="235"/>
      <c r="AW478" s="235"/>
      <c r="AX478" s="235"/>
      <c r="AY478" s="235"/>
      <c r="AZ478" s="235"/>
      <c r="BA478" s="235"/>
      <c r="BB478" s="235"/>
      <c r="BC478" s="235"/>
      <c r="BD478" s="235"/>
      <c r="BE478" s="235"/>
      <c r="BF478" s="235"/>
      <c r="BG478" s="235"/>
      <c r="BH478" s="219" t="s">
        <v>135</v>
      </c>
      <c r="BI478" s="219" t="s">
        <v>134</v>
      </c>
      <c r="BJ478" s="226" t="s">
        <v>902</v>
      </c>
      <c r="BK478" s="241" t="s">
        <v>120</v>
      </c>
      <c r="BL478" s="218" t="s">
        <v>900</v>
      </c>
      <c r="BM478" s="226" t="s">
        <v>1026</v>
      </c>
    </row>
    <row r="479" spans="1:65" s="252" customFormat="1" ht="31.5" x14ac:dyDescent="0.25">
      <c r="A479" s="249">
        <f t="shared" si="149"/>
        <v>273</v>
      </c>
      <c r="B479" s="162" t="s">
        <v>903</v>
      </c>
      <c r="C479" s="65" t="s">
        <v>138</v>
      </c>
      <c r="D479" s="218" t="s">
        <v>50</v>
      </c>
      <c r="E479" s="28">
        <f>F479+G479</f>
        <v>0.52</v>
      </c>
      <c r="F479" s="20">
        <v>0.12</v>
      </c>
      <c r="G479" s="28">
        <f t="shared" si="148"/>
        <v>0.4</v>
      </c>
      <c r="H479" s="222">
        <v>0.27</v>
      </c>
      <c r="I479" s="222"/>
      <c r="J479" s="222"/>
      <c r="K479" s="222"/>
      <c r="L479" s="222"/>
      <c r="M479" s="222"/>
      <c r="N479" s="222"/>
      <c r="O479" s="222"/>
      <c r="P479" s="222"/>
      <c r="Q479" s="222"/>
      <c r="R479" s="222"/>
      <c r="S479" s="222"/>
      <c r="T479" s="222"/>
      <c r="U479" s="222"/>
      <c r="V479" s="222"/>
      <c r="W479" s="222"/>
      <c r="X479" s="222"/>
      <c r="Y479" s="222">
        <v>0.02</v>
      </c>
      <c r="Z479" s="222"/>
      <c r="AA479" s="222"/>
      <c r="AB479" s="222"/>
      <c r="AC479" s="222"/>
      <c r="AD479" s="222"/>
      <c r="AE479" s="222"/>
      <c r="AF479" s="222">
        <v>0.11</v>
      </c>
      <c r="AG479" s="235"/>
      <c r="AH479" s="235"/>
      <c r="AI479" s="235"/>
      <c r="AJ479" s="235"/>
      <c r="AK479" s="235"/>
      <c r="AL479" s="235"/>
      <c r="AM479" s="235"/>
      <c r="AN479" s="235"/>
      <c r="AO479" s="235"/>
      <c r="AP479" s="235"/>
      <c r="AQ479" s="235"/>
      <c r="AR479" s="235"/>
      <c r="AS479" s="235"/>
      <c r="AT479" s="235"/>
      <c r="AU479" s="235"/>
      <c r="AV479" s="235"/>
      <c r="AW479" s="235"/>
      <c r="AX479" s="235"/>
      <c r="AY479" s="235"/>
      <c r="AZ479" s="235"/>
      <c r="BA479" s="235"/>
      <c r="BB479" s="235"/>
      <c r="BC479" s="235"/>
      <c r="BD479" s="235"/>
      <c r="BE479" s="235"/>
      <c r="BF479" s="235"/>
      <c r="BG479" s="235"/>
      <c r="BH479" s="235" t="s">
        <v>397</v>
      </c>
      <c r="BI479" s="65" t="s">
        <v>138</v>
      </c>
      <c r="BJ479" s="226" t="s">
        <v>904</v>
      </c>
      <c r="BK479" s="241" t="s">
        <v>120</v>
      </c>
      <c r="BL479" s="238" t="s">
        <v>202</v>
      </c>
      <c r="BM479" s="226" t="s">
        <v>206</v>
      </c>
    </row>
    <row r="480" spans="1:65" s="252" customFormat="1" ht="15.75" customHeight="1" x14ac:dyDescent="0.25">
      <c r="A480" s="419">
        <f t="shared" si="149"/>
        <v>274</v>
      </c>
      <c r="B480" s="420" t="s">
        <v>905</v>
      </c>
      <c r="C480" s="65" t="s">
        <v>122</v>
      </c>
      <c r="D480" s="218" t="s">
        <v>50</v>
      </c>
      <c r="E480" s="48">
        <f>SUM(F480:G480)</f>
        <v>0.1</v>
      </c>
      <c r="F480" s="21"/>
      <c r="G480" s="28">
        <f>SUM(H480:BG480)-U480</f>
        <v>0.1</v>
      </c>
      <c r="H480" s="222"/>
      <c r="I480" s="54"/>
      <c r="J480" s="54"/>
      <c r="K480" s="222"/>
      <c r="L480" s="222"/>
      <c r="M480" s="222"/>
      <c r="N480" s="50"/>
      <c r="O480" s="50"/>
      <c r="P480" s="50"/>
      <c r="Q480" s="222">
        <f>R480+S480+T480</f>
        <v>0</v>
      </c>
      <c r="R480" s="222"/>
      <c r="S480" s="222"/>
      <c r="T480" s="222"/>
      <c r="U480" s="222"/>
      <c r="V480" s="222"/>
      <c r="W480" s="222"/>
      <c r="X480" s="222"/>
      <c r="Y480" s="222"/>
      <c r="Z480" s="222"/>
      <c r="AA480" s="222"/>
      <c r="AB480" s="222"/>
      <c r="AC480" s="222"/>
      <c r="AD480" s="222"/>
      <c r="AE480" s="222"/>
      <c r="AF480" s="222"/>
      <c r="AG480" s="235"/>
      <c r="AH480" s="235"/>
      <c r="AI480" s="235"/>
      <c r="AJ480" s="235"/>
      <c r="AK480" s="62"/>
      <c r="AL480" s="235"/>
      <c r="AM480" s="235"/>
      <c r="AN480" s="235"/>
      <c r="AO480" s="235"/>
      <c r="AP480" s="235"/>
      <c r="AQ480" s="235"/>
      <c r="AR480" s="235"/>
      <c r="AS480" s="235"/>
      <c r="AT480" s="235"/>
      <c r="AU480" s="235"/>
      <c r="AV480" s="235"/>
      <c r="AW480" s="235"/>
      <c r="AX480" s="235"/>
      <c r="AY480" s="235"/>
      <c r="AZ480" s="235"/>
      <c r="BA480" s="235"/>
      <c r="BB480" s="235"/>
      <c r="BC480" s="235"/>
      <c r="BD480" s="235"/>
      <c r="BE480" s="235"/>
      <c r="BF480" s="235"/>
      <c r="BG480" s="235">
        <v>0.1</v>
      </c>
      <c r="BH480" s="63" t="s">
        <v>123</v>
      </c>
      <c r="BI480" s="65" t="s">
        <v>122</v>
      </c>
      <c r="BJ480" s="226" t="s">
        <v>906</v>
      </c>
      <c r="BK480" s="241" t="s">
        <v>398</v>
      </c>
      <c r="BL480" s="238" t="s">
        <v>202</v>
      </c>
      <c r="BM480" s="218" t="s">
        <v>206</v>
      </c>
    </row>
    <row r="481" spans="1:65" s="252" customFormat="1" ht="31.5" x14ac:dyDescent="0.25">
      <c r="A481" s="419"/>
      <c r="B481" s="420"/>
      <c r="C481" s="222" t="s">
        <v>71</v>
      </c>
      <c r="D481" s="218" t="s">
        <v>50</v>
      </c>
      <c r="E481" s="28">
        <f t="shared" ref="E481:E506" si="150">F481+G481</f>
        <v>9.9999999999999992E-2</v>
      </c>
      <c r="F481" s="20"/>
      <c r="G481" s="28">
        <f t="shared" si="148"/>
        <v>9.9999999999999992E-2</v>
      </c>
      <c r="H481" s="92">
        <v>0.09</v>
      </c>
      <c r="I481" s="92"/>
      <c r="J481" s="92"/>
      <c r="K481" s="92"/>
      <c r="L481" s="92"/>
      <c r="M481" s="92"/>
      <c r="N481" s="92"/>
      <c r="O481" s="92"/>
      <c r="P481" s="92"/>
      <c r="Q481" s="92"/>
      <c r="R481" s="92"/>
      <c r="S481" s="92"/>
      <c r="T481" s="92"/>
      <c r="U481" s="222"/>
      <c r="V481" s="92"/>
      <c r="W481" s="92"/>
      <c r="X481" s="92"/>
      <c r="Y481" s="92"/>
      <c r="Z481" s="92"/>
      <c r="AA481" s="92"/>
      <c r="AB481" s="92"/>
      <c r="AC481" s="92"/>
      <c r="AD481" s="92"/>
      <c r="AE481" s="92"/>
      <c r="AF481" s="92">
        <v>0.01</v>
      </c>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235" t="s">
        <v>1040</v>
      </c>
      <c r="BI481" s="222" t="s">
        <v>71</v>
      </c>
      <c r="BJ481" s="218" t="s">
        <v>907</v>
      </c>
      <c r="BK481" s="233" t="s">
        <v>398</v>
      </c>
      <c r="BL481" s="238" t="s">
        <v>202</v>
      </c>
      <c r="BM481" s="218" t="s">
        <v>206</v>
      </c>
    </row>
    <row r="482" spans="1:65" s="252" customFormat="1" x14ac:dyDescent="0.25">
      <c r="A482" s="419"/>
      <c r="B482" s="420"/>
      <c r="C482" s="90" t="s">
        <v>82</v>
      </c>
      <c r="D482" s="218" t="s">
        <v>50</v>
      </c>
      <c r="E482" s="28">
        <f t="shared" si="150"/>
        <v>0.25</v>
      </c>
      <c r="F482" s="20"/>
      <c r="G482" s="28">
        <f t="shared" si="148"/>
        <v>0.25</v>
      </c>
      <c r="H482" s="54"/>
      <c r="I482" s="54"/>
      <c r="J482" s="54"/>
      <c r="K482" s="54"/>
      <c r="L482" s="54">
        <v>0.25</v>
      </c>
      <c r="M482" s="54"/>
      <c r="N482" s="54"/>
      <c r="O482" s="54"/>
      <c r="P482" s="54"/>
      <c r="Q482" s="54"/>
      <c r="R482" s="54"/>
      <c r="S482" s="54"/>
      <c r="T482" s="54"/>
      <c r="U482" s="222"/>
      <c r="V482" s="92"/>
      <c r="W482" s="92"/>
      <c r="X482" s="54"/>
      <c r="Y482" s="54"/>
      <c r="Z482" s="54"/>
      <c r="AA482" s="54"/>
      <c r="AB482" s="54"/>
      <c r="AC482" s="54"/>
      <c r="AD482" s="54"/>
      <c r="AE482" s="54"/>
      <c r="AF482" s="54"/>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235" t="s">
        <v>83</v>
      </c>
      <c r="BI482" s="90" t="s">
        <v>82</v>
      </c>
      <c r="BJ482" s="90" t="s">
        <v>908</v>
      </c>
      <c r="BK482" s="66" t="s">
        <v>398</v>
      </c>
      <c r="BL482" s="238" t="s">
        <v>202</v>
      </c>
      <c r="BM482" s="218" t="s">
        <v>206</v>
      </c>
    </row>
    <row r="483" spans="1:65" s="252" customFormat="1" x14ac:dyDescent="0.25">
      <c r="A483" s="419"/>
      <c r="B483" s="420"/>
      <c r="C483" s="90" t="s">
        <v>87</v>
      </c>
      <c r="D483" s="218" t="s">
        <v>50</v>
      </c>
      <c r="E483" s="28">
        <f t="shared" si="150"/>
        <v>0.1</v>
      </c>
      <c r="F483" s="20"/>
      <c r="G483" s="28">
        <f t="shared" si="148"/>
        <v>0.1</v>
      </c>
      <c r="H483" s="54"/>
      <c r="I483" s="54"/>
      <c r="J483" s="54"/>
      <c r="K483" s="54">
        <v>0.1</v>
      </c>
      <c r="L483" s="54"/>
      <c r="M483" s="54"/>
      <c r="N483" s="54"/>
      <c r="O483" s="54"/>
      <c r="P483" s="54"/>
      <c r="Q483" s="54"/>
      <c r="R483" s="54"/>
      <c r="S483" s="54"/>
      <c r="T483" s="54"/>
      <c r="U483" s="222">
        <f>SUM(V483:X483)</f>
        <v>0</v>
      </c>
      <c r="V483" s="92"/>
      <c r="W483" s="92"/>
      <c r="X483" s="54"/>
      <c r="Y483" s="54"/>
      <c r="Z483" s="54"/>
      <c r="AA483" s="54"/>
      <c r="AB483" s="54"/>
      <c r="AC483" s="54"/>
      <c r="AD483" s="54"/>
      <c r="AE483" s="54"/>
      <c r="AF483" s="54"/>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222" t="s">
        <v>909</v>
      </c>
      <c r="BI483" s="90" t="s">
        <v>87</v>
      </c>
      <c r="BJ483" s="90" t="s">
        <v>910</v>
      </c>
      <c r="BK483" s="66" t="s">
        <v>1058</v>
      </c>
      <c r="BL483" s="238" t="s">
        <v>202</v>
      </c>
      <c r="BM483" s="218" t="s">
        <v>206</v>
      </c>
    </row>
    <row r="484" spans="1:65" s="252" customFormat="1" ht="31.5" x14ac:dyDescent="0.25">
      <c r="A484" s="419"/>
      <c r="B484" s="420"/>
      <c r="C484" s="90" t="s">
        <v>134</v>
      </c>
      <c r="D484" s="218" t="s">
        <v>50</v>
      </c>
      <c r="E484" s="28">
        <f t="shared" si="150"/>
        <v>0.1</v>
      </c>
      <c r="F484" s="20"/>
      <c r="G484" s="28">
        <f t="shared" si="148"/>
        <v>0.1</v>
      </c>
      <c r="H484" s="62"/>
      <c r="I484" s="62"/>
      <c r="J484" s="62"/>
      <c r="K484" s="62"/>
      <c r="L484" s="62"/>
      <c r="M484" s="62"/>
      <c r="N484" s="62"/>
      <c r="O484" s="62"/>
      <c r="P484" s="62"/>
      <c r="Q484" s="62"/>
      <c r="R484" s="62"/>
      <c r="S484" s="62"/>
      <c r="T484" s="62"/>
      <c r="U484" s="33">
        <f>SUM(V484:X484)</f>
        <v>0.1</v>
      </c>
      <c r="V484" s="49"/>
      <c r="W484" s="49">
        <v>0.1</v>
      </c>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152" t="s">
        <v>135</v>
      </c>
      <c r="BI484" s="90" t="s">
        <v>134</v>
      </c>
      <c r="BJ484" s="218" t="s">
        <v>911</v>
      </c>
      <c r="BK484" s="66" t="s">
        <v>1058</v>
      </c>
      <c r="BL484" s="218" t="s">
        <v>912</v>
      </c>
      <c r="BM484" s="218" t="s">
        <v>206</v>
      </c>
    </row>
    <row r="485" spans="1:65" s="252" customFormat="1" x14ac:dyDescent="0.25">
      <c r="A485" s="419"/>
      <c r="B485" s="420"/>
      <c r="C485" s="90" t="s">
        <v>138</v>
      </c>
      <c r="D485" s="218" t="s">
        <v>50</v>
      </c>
      <c r="E485" s="28">
        <f t="shared" si="150"/>
        <v>0.1</v>
      </c>
      <c r="F485" s="20"/>
      <c r="G485" s="28">
        <f t="shared" si="148"/>
        <v>0.1</v>
      </c>
      <c r="H485" s="62"/>
      <c r="I485" s="62"/>
      <c r="J485" s="62"/>
      <c r="K485" s="62">
        <v>0.04</v>
      </c>
      <c r="L485" s="62">
        <v>0.06</v>
      </c>
      <c r="M485" s="62"/>
      <c r="N485" s="62"/>
      <c r="O485" s="62"/>
      <c r="P485" s="62"/>
      <c r="Q485" s="62"/>
      <c r="R485" s="62"/>
      <c r="S485" s="62"/>
      <c r="T485" s="62"/>
      <c r="U485" s="33"/>
      <c r="V485" s="49"/>
      <c r="W485" s="49"/>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235" t="s">
        <v>139</v>
      </c>
      <c r="BI485" s="90" t="s">
        <v>138</v>
      </c>
      <c r="BJ485" s="218" t="s">
        <v>913</v>
      </c>
      <c r="BK485" s="233" t="s">
        <v>120</v>
      </c>
      <c r="BL485" s="238" t="s">
        <v>202</v>
      </c>
      <c r="BM485" s="218" t="s">
        <v>206</v>
      </c>
    </row>
    <row r="486" spans="1:65" s="252" customFormat="1" ht="31.5" x14ac:dyDescent="0.25">
      <c r="A486" s="419"/>
      <c r="B486" s="420"/>
      <c r="C486" s="219" t="s">
        <v>142</v>
      </c>
      <c r="D486" s="218" t="s">
        <v>50</v>
      </c>
      <c r="E486" s="28">
        <f t="shared" si="150"/>
        <v>0.1</v>
      </c>
      <c r="F486" s="20"/>
      <c r="G486" s="28">
        <f t="shared" si="148"/>
        <v>0.1</v>
      </c>
      <c r="H486" s="62">
        <v>0.02</v>
      </c>
      <c r="I486" s="54"/>
      <c r="J486" s="54"/>
      <c r="K486" s="54">
        <v>0.05</v>
      </c>
      <c r="L486" s="54">
        <v>0.02</v>
      </c>
      <c r="M486" s="54"/>
      <c r="N486" s="54"/>
      <c r="O486" s="54"/>
      <c r="P486" s="54"/>
      <c r="Q486" s="54"/>
      <c r="R486" s="54"/>
      <c r="S486" s="54"/>
      <c r="T486" s="54"/>
      <c r="U486" s="222">
        <f>SUM(V486:X486)</f>
        <v>0.01</v>
      </c>
      <c r="V486" s="92">
        <v>0.01</v>
      </c>
      <c r="W486" s="92"/>
      <c r="X486" s="54"/>
      <c r="Y486" s="54"/>
      <c r="Z486" s="54"/>
      <c r="AA486" s="54"/>
      <c r="AB486" s="54"/>
      <c r="AC486" s="54"/>
      <c r="AD486" s="54"/>
      <c r="AE486" s="54"/>
      <c r="AF486" s="54"/>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c r="BF486" s="62"/>
      <c r="BG486" s="62"/>
      <c r="BH486" s="33" t="s">
        <v>143</v>
      </c>
      <c r="BI486" s="219" t="s">
        <v>142</v>
      </c>
      <c r="BJ486" s="218" t="s">
        <v>914</v>
      </c>
      <c r="BK486" s="233" t="s">
        <v>398</v>
      </c>
      <c r="BL486" s="238" t="s">
        <v>202</v>
      </c>
      <c r="BM486" s="226" t="s">
        <v>206</v>
      </c>
    </row>
    <row r="487" spans="1:65" s="252" customFormat="1" ht="31.5" customHeight="1" x14ac:dyDescent="0.25">
      <c r="A487" s="419"/>
      <c r="B487" s="420"/>
      <c r="C487" s="90" t="s">
        <v>91</v>
      </c>
      <c r="D487" s="218" t="s">
        <v>50</v>
      </c>
      <c r="E487" s="28">
        <f t="shared" si="150"/>
        <v>0.08</v>
      </c>
      <c r="F487" s="20">
        <v>0.05</v>
      </c>
      <c r="G487" s="28">
        <f t="shared" si="148"/>
        <v>0.03</v>
      </c>
      <c r="H487" s="62"/>
      <c r="I487" s="54"/>
      <c r="J487" s="54"/>
      <c r="K487" s="54"/>
      <c r="L487" s="54">
        <v>0.03</v>
      </c>
      <c r="M487" s="54"/>
      <c r="N487" s="54"/>
      <c r="O487" s="54"/>
      <c r="P487" s="54"/>
      <c r="Q487" s="54"/>
      <c r="R487" s="54"/>
      <c r="S487" s="54"/>
      <c r="T487" s="54"/>
      <c r="U487" s="222"/>
      <c r="V487" s="92"/>
      <c r="W487" s="92"/>
      <c r="X487" s="54"/>
      <c r="Y487" s="54"/>
      <c r="Z487" s="54"/>
      <c r="AA487" s="54"/>
      <c r="AB487" s="54"/>
      <c r="AC487" s="54"/>
      <c r="AD487" s="54"/>
      <c r="AE487" s="54"/>
      <c r="AF487" s="54"/>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235" t="s">
        <v>430</v>
      </c>
      <c r="BI487" s="90" t="s">
        <v>91</v>
      </c>
      <c r="BJ487" s="90" t="s">
        <v>915</v>
      </c>
      <c r="BK487" s="233" t="s">
        <v>398</v>
      </c>
      <c r="BL487" s="238" t="s">
        <v>202</v>
      </c>
      <c r="BM487" s="226" t="s">
        <v>206</v>
      </c>
    </row>
    <row r="488" spans="1:65" s="252" customFormat="1" x14ac:dyDescent="0.25">
      <c r="A488" s="419"/>
      <c r="B488" s="420"/>
      <c r="C488" s="90" t="s">
        <v>95</v>
      </c>
      <c r="D488" s="218" t="s">
        <v>50</v>
      </c>
      <c r="E488" s="28">
        <f t="shared" si="150"/>
        <v>0.09</v>
      </c>
      <c r="F488" s="20"/>
      <c r="G488" s="28">
        <f t="shared" si="148"/>
        <v>0.09</v>
      </c>
      <c r="H488" s="62"/>
      <c r="I488" s="54"/>
      <c r="J488" s="54"/>
      <c r="K488" s="54">
        <v>0.09</v>
      </c>
      <c r="L488" s="54"/>
      <c r="M488" s="54"/>
      <c r="N488" s="54"/>
      <c r="O488" s="54"/>
      <c r="P488" s="54"/>
      <c r="Q488" s="54"/>
      <c r="R488" s="54"/>
      <c r="S488" s="54"/>
      <c r="T488" s="54"/>
      <c r="U488" s="222"/>
      <c r="V488" s="92"/>
      <c r="W488" s="92"/>
      <c r="X488" s="54"/>
      <c r="Y488" s="54"/>
      <c r="Z488" s="54"/>
      <c r="AA488" s="54"/>
      <c r="AB488" s="54"/>
      <c r="AC488" s="54"/>
      <c r="AD488" s="54"/>
      <c r="AE488" s="54"/>
      <c r="AF488" s="54"/>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235" t="s">
        <v>96</v>
      </c>
      <c r="BI488" s="90" t="s">
        <v>95</v>
      </c>
      <c r="BJ488" s="90" t="s">
        <v>916</v>
      </c>
      <c r="BK488" s="241" t="s">
        <v>120</v>
      </c>
      <c r="BL488" s="238" t="s">
        <v>202</v>
      </c>
      <c r="BM488" s="218" t="s">
        <v>206</v>
      </c>
    </row>
    <row r="489" spans="1:65" s="252" customFormat="1" ht="31.5" x14ac:dyDescent="0.25">
      <c r="A489" s="419"/>
      <c r="B489" s="420"/>
      <c r="C489" s="90" t="s">
        <v>65</v>
      </c>
      <c r="D489" s="218" t="s">
        <v>50</v>
      </c>
      <c r="E489" s="28">
        <f t="shared" si="150"/>
        <v>0.1</v>
      </c>
      <c r="F489" s="20"/>
      <c r="G489" s="28">
        <f t="shared" si="148"/>
        <v>0.1</v>
      </c>
      <c r="H489" s="62"/>
      <c r="I489" s="54"/>
      <c r="J489" s="54"/>
      <c r="K489" s="54">
        <v>0.02</v>
      </c>
      <c r="L489" s="54">
        <v>0.06</v>
      </c>
      <c r="M489" s="54"/>
      <c r="N489" s="54"/>
      <c r="O489" s="54"/>
      <c r="P489" s="54"/>
      <c r="Q489" s="54"/>
      <c r="R489" s="54"/>
      <c r="S489" s="54"/>
      <c r="T489" s="54"/>
      <c r="U489" s="222"/>
      <c r="V489" s="92"/>
      <c r="W489" s="92"/>
      <c r="X489" s="54"/>
      <c r="Y489" s="54"/>
      <c r="Z489" s="54"/>
      <c r="AA489" s="54"/>
      <c r="AB489" s="54"/>
      <c r="AC489" s="54"/>
      <c r="AD489" s="54"/>
      <c r="AE489" s="54"/>
      <c r="AF489" s="54"/>
      <c r="AG489" s="62"/>
      <c r="AH489" s="62"/>
      <c r="AI489" s="62"/>
      <c r="AJ489" s="62"/>
      <c r="AK489" s="62">
        <v>0.02</v>
      </c>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235" t="s">
        <v>66</v>
      </c>
      <c r="BI489" s="90" t="s">
        <v>65</v>
      </c>
      <c r="BJ489" s="243" t="s">
        <v>917</v>
      </c>
      <c r="BK489" s="241" t="s">
        <v>120</v>
      </c>
      <c r="BL489" s="238" t="s">
        <v>1013</v>
      </c>
      <c r="BM489" s="226" t="s">
        <v>206</v>
      </c>
    </row>
    <row r="490" spans="1:65" s="252" customFormat="1" x14ac:dyDescent="0.25">
      <c r="A490" s="419"/>
      <c r="B490" s="420"/>
      <c r="C490" s="90" t="s">
        <v>150</v>
      </c>
      <c r="D490" s="218" t="s">
        <v>50</v>
      </c>
      <c r="E490" s="28">
        <f t="shared" si="150"/>
        <v>0.18</v>
      </c>
      <c r="F490" s="20"/>
      <c r="G490" s="28">
        <f t="shared" si="148"/>
        <v>0.18</v>
      </c>
      <c r="H490" s="62"/>
      <c r="I490" s="54"/>
      <c r="J490" s="54"/>
      <c r="K490" s="54">
        <v>0.18</v>
      </c>
      <c r="L490" s="54"/>
      <c r="M490" s="54"/>
      <c r="N490" s="54"/>
      <c r="O490" s="54"/>
      <c r="P490" s="54"/>
      <c r="Q490" s="54"/>
      <c r="R490" s="54"/>
      <c r="S490" s="54"/>
      <c r="T490" s="54"/>
      <c r="U490" s="222"/>
      <c r="V490" s="92"/>
      <c r="W490" s="92"/>
      <c r="X490" s="54"/>
      <c r="Y490" s="54"/>
      <c r="Z490" s="54"/>
      <c r="AA490" s="54"/>
      <c r="AB490" s="54"/>
      <c r="AC490" s="54"/>
      <c r="AD490" s="54"/>
      <c r="AE490" s="54"/>
      <c r="AF490" s="54"/>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152" t="s">
        <v>212</v>
      </c>
      <c r="BI490" s="90" t="s">
        <v>150</v>
      </c>
      <c r="BJ490" s="90" t="s">
        <v>918</v>
      </c>
      <c r="BK490" s="233" t="s">
        <v>398</v>
      </c>
      <c r="BL490" s="238" t="s">
        <v>202</v>
      </c>
      <c r="BM490" s="218" t="s">
        <v>206</v>
      </c>
    </row>
    <row r="491" spans="1:65" s="252" customFormat="1" x14ac:dyDescent="0.25">
      <c r="A491" s="419"/>
      <c r="B491" s="420"/>
      <c r="C491" s="226" t="s">
        <v>154</v>
      </c>
      <c r="D491" s="218" t="s">
        <v>50</v>
      </c>
      <c r="E491" s="28">
        <f t="shared" si="150"/>
        <v>0.1</v>
      </c>
      <c r="F491" s="20"/>
      <c r="G491" s="28">
        <f t="shared" si="148"/>
        <v>0.1</v>
      </c>
      <c r="H491" s="20"/>
      <c r="I491" s="150"/>
      <c r="J491" s="150"/>
      <c r="K491" s="150">
        <v>0.1</v>
      </c>
      <c r="L491" s="150"/>
      <c r="M491" s="150"/>
      <c r="N491" s="150"/>
      <c r="O491" s="150"/>
      <c r="P491" s="150"/>
      <c r="Q491" s="150"/>
      <c r="R491" s="150"/>
      <c r="S491" s="150"/>
      <c r="T491" s="150"/>
      <c r="U491" s="222"/>
      <c r="V491" s="150"/>
      <c r="W491" s="150"/>
      <c r="X491" s="150"/>
      <c r="Y491" s="150"/>
      <c r="Z491" s="150"/>
      <c r="AA491" s="150"/>
      <c r="AB491" s="150"/>
      <c r="AC491" s="150"/>
      <c r="AD491" s="150"/>
      <c r="AE491" s="150"/>
      <c r="AF491" s="15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35" t="s">
        <v>521</v>
      </c>
      <c r="BI491" s="226" t="s">
        <v>154</v>
      </c>
      <c r="BJ491" s="226" t="s">
        <v>919</v>
      </c>
      <c r="BK491" s="233" t="s">
        <v>120</v>
      </c>
      <c r="BL491" s="238" t="s">
        <v>202</v>
      </c>
      <c r="BM491" s="226" t="s">
        <v>206</v>
      </c>
    </row>
    <row r="492" spans="1:65" s="252" customFormat="1" ht="21.75" customHeight="1" x14ac:dyDescent="0.25">
      <c r="A492" s="419"/>
      <c r="B492" s="420"/>
      <c r="C492" s="90" t="s">
        <v>158</v>
      </c>
      <c r="D492" s="218" t="s">
        <v>50</v>
      </c>
      <c r="E492" s="28">
        <f t="shared" si="150"/>
        <v>0.03</v>
      </c>
      <c r="F492" s="20"/>
      <c r="G492" s="28">
        <f t="shared" si="148"/>
        <v>0.03</v>
      </c>
      <c r="H492" s="62"/>
      <c r="I492" s="54">
        <v>0.01</v>
      </c>
      <c r="J492" s="54"/>
      <c r="K492" s="54"/>
      <c r="L492" s="54"/>
      <c r="M492" s="54"/>
      <c r="N492" s="54"/>
      <c r="O492" s="54"/>
      <c r="P492" s="54"/>
      <c r="Q492" s="54"/>
      <c r="R492" s="54"/>
      <c r="S492" s="54"/>
      <c r="T492" s="54"/>
      <c r="U492" s="222"/>
      <c r="V492" s="92"/>
      <c r="W492" s="92"/>
      <c r="X492" s="54"/>
      <c r="Y492" s="54"/>
      <c r="Z492" s="54"/>
      <c r="AA492" s="54"/>
      <c r="AB492" s="54"/>
      <c r="AC492" s="54"/>
      <c r="AD492" s="54"/>
      <c r="AE492" s="54"/>
      <c r="AF492" s="54"/>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v>0.02</v>
      </c>
      <c r="BH492" s="235" t="s">
        <v>159</v>
      </c>
      <c r="BI492" s="90" t="s">
        <v>158</v>
      </c>
      <c r="BJ492" s="90" t="s">
        <v>920</v>
      </c>
      <c r="BK492" s="233" t="s">
        <v>120</v>
      </c>
      <c r="BL492" s="238" t="s">
        <v>202</v>
      </c>
      <c r="BM492" s="218" t="s">
        <v>206</v>
      </c>
    </row>
    <row r="493" spans="1:65" s="252" customFormat="1" ht="21.75" customHeight="1" x14ac:dyDescent="0.25">
      <c r="A493" s="419"/>
      <c r="B493" s="420"/>
      <c r="C493" s="90" t="s">
        <v>99</v>
      </c>
      <c r="D493" s="218" t="s">
        <v>50</v>
      </c>
      <c r="E493" s="28">
        <f t="shared" si="150"/>
        <v>0.17</v>
      </c>
      <c r="F493" s="20"/>
      <c r="G493" s="28">
        <f t="shared" si="148"/>
        <v>0.17</v>
      </c>
      <c r="H493" s="62"/>
      <c r="I493" s="54"/>
      <c r="J493" s="54"/>
      <c r="K493" s="54"/>
      <c r="L493" s="54"/>
      <c r="M493" s="54"/>
      <c r="N493" s="54"/>
      <c r="O493" s="54"/>
      <c r="P493" s="54"/>
      <c r="Q493" s="54"/>
      <c r="R493" s="54"/>
      <c r="S493" s="54"/>
      <c r="T493" s="54"/>
      <c r="U493" s="222"/>
      <c r="V493" s="92"/>
      <c r="W493" s="92"/>
      <c r="X493" s="54"/>
      <c r="Y493" s="54"/>
      <c r="Z493" s="54"/>
      <c r="AA493" s="54"/>
      <c r="AB493" s="54"/>
      <c r="AC493" s="54"/>
      <c r="AD493" s="54"/>
      <c r="AE493" s="54"/>
      <c r="AF493" s="54"/>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v>0.17</v>
      </c>
      <c r="BH493" s="235" t="s">
        <v>100</v>
      </c>
      <c r="BI493" s="90" t="s">
        <v>99</v>
      </c>
      <c r="BJ493" s="90" t="s">
        <v>162</v>
      </c>
      <c r="BK493" s="66" t="s">
        <v>1058</v>
      </c>
      <c r="BL493" s="238" t="s">
        <v>202</v>
      </c>
      <c r="BM493" s="218" t="s">
        <v>206</v>
      </c>
    </row>
    <row r="494" spans="1:65" s="252" customFormat="1" ht="21.75" customHeight="1" x14ac:dyDescent="0.25">
      <c r="A494" s="419"/>
      <c r="B494" s="420"/>
      <c r="C494" s="219" t="s">
        <v>106</v>
      </c>
      <c r="D494" s="218" t="s">
        <v>50</v>
      </c>
      <c r="E494" s="28">
        <f t="shared" si="150"/>
        <v>0.1</v>
      </c>
      <c r="F494" s="20"/>
      <c r="G494" s="28">
        <f t="shared" si="148"/>
        <v>0.1</v>
      </c>
      <c r="H494" s="49"/>
      <c r="I494" s="92"/>
      <c r="J494" s="92"/>
      <c r="K494" s="92"/>
      <c r="L494" s="92"/>
      <c r="M494" s="92"/>
      <c r="N494" s="92"/>
      <c r="O494" s="92"/>
      <c r="P494" s="92"/>
      <c r="Q494" s="92"/>
      <c r="R494" s="92"/>
      <c r="S494" s="92"/>
      <c r="T494" s="92"/>
      <c r="U494" s="222">
        <f>SUM(V494:X494)</f>
        <v>0.1</v>
      </c>
      <c r="V494" s="92"/>
      <c r="W494" s="92"/>
      <c r="X494" s="92">
        <v>0.1</v>
      </c>
      <c r="Y494" s="92"/>
      <c r="Z494" s="92"/>
      <c r="AA494" s="92"/>
      <c r="AB494" s="92"/>
      <c r="AC494" s="92"/>
      <c r="AD494" s="92"/>
      <c r="AE494" s="92"/>
      <c r="AF494" s="92"/>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235" t="s">
        <v>107</v>
      </c>
      <c r="BI494" s="219" t="s">
        <v>106</v>
      </c>
      <c r="BJ494" s="219" t="s">
        <v>921</v>
      </c>
      <c r="BK494" s="233" t="s">
        <v>398</v>
      </c>
      <c r="BL494" s="238" t="s">
        <v>202</v>
      </c>
      <c r="BM494" s="218" t="s">
        <v>206</v>
      </c>
    </row>
    <row r="495" spans="1:65" s="252" customFormat="1" ht="21.75" customHeight="1" x14ac:dyDescent="0.25">
      <c r="A495" s="419"/>
      <c r="B495" s="420"/>
      <c r="C495" s="219" t="s">
        <v>166</v>
      </c>
      <c r="D495" s="218" t="s">
        <v>50</v>
      </c>
      <c r="E495" s="28">
        <f t="shared" si="150"/>
        <v>0.1</v>
      </c>
      <c r="F495" s="20"/>
      <c r="G495" s="28">
        <f t="shared" si="148"/>
        <v>0.1</v>
      </c>
      <c r="H495" s="62"/>
      <c r="I495" s="54"/>
      <c r="J495" s="54"/>
      <c r="K495" s="54"/>
      <c r="L495" s="54"/>
      <c r="M495" s="54"/>
      <c r="N495" s="54"/>
      <c r="O495" s="54"/>
      <c r="P495" s="54"/>
      <c r="Q495" s="54"/>
      <c r="R495" s="54"/>
      <c r="S495" s="54"/>
      <c r="T495" s="54"/>
      <c r="U495" s="222">
        <f>SUM(V495:X495)</f>
        <v>0.1</v>
      </c>
      <c r="V495" s="92">
        <v>0.04</v>
      </c>
      <c r="W495" s="92">
        <v>0.06</v>
      </c>
      <c r="X495" s="54"/>
      <c r="Y495" s="54"/>
      <c r="Z495" s="54"/>
      <c r="AA495" s="54"/>
      <c r="AB495" s="54"/>
      <c r="AC495" s="54"/>
      <c r="AD495" s="54"/>
      <c r="AE495" s="54"/>
      <c r="AF495" s="54"/>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235" t="s">
        <v>167</v>
      </c>
      <c r="BI495" s="219" t="s">
        <v>166</v>
      </c>
      <c r="BJ495" s="226" t="s">
        <v>922</v>
      </c>
      <c r="BK495" s="233" t="s">
        <v>398</v>
      </c>
      <c r="BL495" s="238" t="s">
        <v>202</v>
      </c>
      <c r="BM495" s="226" t="s">
        <v>206</v>
      </c>
    </row>
    <row r="496" spans="1:65" s="252" customFormat="1" ht="52.5" customHeight="1" x14ac:dyDescent="0.25">
      <c r="A496" s="249">
        <f>A480+1</f>
        <v>275</v>
      </c>
      <c r="B496" s="97" t="s">
        <v>923</v>
      </c>
      <c r="C496" s="226" t="s">
        <v>71</v>
      </c>
      <c r="D496" s="218" t="s">
        <v>50</v>
      </c>
      <c r="E496" s="28">
        <f t="shared" si="150"/>
        <v>0.2</v>
      </c>
      <c r="F496" s="21"/>
      <c r="G496" s="28">
        <f t="shared" si="148"/>
        <v>0.2</v>
      </c>
      <c r="H496" s="60"/>
      <c r="I496" s="92"/>
      <c r="J496" s="92"/>
      <c r="K496" s="222"/>
      <c r="L496" s="222"/>
      <c r="M496" s="222">
        <f>SUM(N496:P496)</f>
        <v>0</v>
      </c>
      <c r="N496" s="222"/>
      <c r="O496" s="222"/>
      <c r="P496" s="222"/>
      <c r="Q496" s="222">
        <f>R496+S496+T496</f>
        <v>0</v>
      </c>
      <c r="R496" s="222"/>
      <c r="S496" s="222"/>
      <c r="T496" s="222"/>
      <c r="U496" s="222">
        <f>SUM(V496:X496)</f>
        <v>0</v>
      </c>
      <c r="V496" s="222"/>
      <c r="W496" s="222"/>
      <c r="X496" s="222"/>
      <c r="Y496" s="222"/>
      <c r="Z496" s="222"/>
      <c r="AA496" s="222"/>
      <c r="AB496" s="222"/>
      <c r="AC496" s="222"/>
      <c r="AD496" s="222"/>
      <c r="AE496" s="222"/>
      <c r="AF496" s="222">
        <v>0.2</v>
      </c>
      <c r="AG496" s="235"/>
      <c r="AH496" s="235"/>
      <c r="AI496" s="235"/>
      <c r="AJ496" s="235"/>
      <c r="AK496" s="62"/>
      <c r="AL496" s="235"/>
      <c r="AM496" s="235"/>
      <c r="AN496" s="235"/>
      <c r="AO496" s="235"/>
      <c r="AP496" s="235"/>
      <c r="AQ496" s="235"/>
      <c r="AR496" s="235"/>
      <c r="AS496" s="235"/>
      <c r="AT496" s="235"/>
      <c r="AU496" s="235"/>
      <c r="AV496" s="235"/>
      <c r="AW496" s="235"/>
      <c r="AX496" s="235"/>
      <c r="AY496" s="235"/>
      <c r="AZ496" s="235"/>
      <c r="BA496" s="235"/>
      <c r="BB496" s="235"/>
      <c r="BC496" s="235"/>
      <c r="BD496" s="235"/>
      <c r="BE496" s="235"/>
      <c r="BF496" s="235"/>
      <c r="BG496" s="235"/>
      <c r="BH496" s="235" t="s">
        <v>879</v>
      </c>
      <c r="BI496" s="226" t="s">
        <v>71</v>
      </c>
      <c r="BJ496" s="226"/>
      <c r="BK496" s="66" t="s">
        <v>398</v>
      </c>
      <c r="BL496" s="218" t="s">
        <v>924</v>
      </c>
      <c r="BM496" s="218" t="s">
        <v>1026</v>
      </c>
    </row>
    <row r="497" spans="1:65" s="252" customFormat="1" ht="52.5" customHeight="1" x14ac:dyDescent="0.25">
      <c r="A497" s="211">
        <f>A496+1</f>
        <v>276</v>
      </c>
      <c r="B497" s="237" t="s">
        <v>925</v>
      </c>
      <c r="C497" s="226" t="s">
        <v>71</v>
      </c>
      <c r="D497" s="218" t="s">
        <v>50</v>
      </c>
      <c r="E497" s="28">
        <f t="shared" si="150"/>
        <v>0.1</v>
      </c>
      <c r="F497" s="91"/>
      <c r="G497" s="28">
        <f t="shared" si="148"/>
        <v>0.1</v>
      </c>
      <c r="H497" s="222"/>
      <c r="I497" s="222"/>
      <c r="J497" s="222"/>
      <c r="K497" s="222"/>
      <c r="L497" s="222"/>
      <c r="M497" s="222">
        <f>SUM(N497:P497)</f>
        <v>0</v>
      </c>
      <c r="N497" s="222"/>
      <c r="O497" s="222"/>
      <c r="P497" s="222"/>
      <c r="Q497" s="222">
        <f>R497+S497+T497</f>
        <v>0</v>
      </c>
      <c r="R497" s="222"/>
      <c r="S497" s="222"/>
      <c r="T497" s="222"/>
      <c r="U497" s="222">
        <f>SUM(W497:X497)</f>
        <v>0.1</v>
      </c>
      <c r="V497" s="92"/>
      <c r="W497" s="222">
        <v>0.1</v>
      </c>
      <c r="X497" s="222"/>
      <c r="Y497" s="222"/>
      <c r="Z497" s="222"/>
      <c r="AA497" s="222"/>
      <c r="AB497" s="222"/>
      <c r="AC497" s="222"/>
      <c r="AD497" s="222"/>
      <c r="AE497" s="222"/>
      <c r="AF497" s="222"/>
      <c r="AG497" s="235"/>
      <c r="AH497" s="235"/>
      <c r="AI497" s="235"/>
      <c r="AJ497" s="235"/>
      <c r="AK497" s="235"/>
      <c r="AL497" s="235"/>
      <c r="AM497" s="235"/>
      <c r="AN497" s="235"/>
      <c r="AO497" s="235"/>
      <c r="AP497" s="235"/>
      <c r="AQ497" s="235"/>
      <c r="AR497" s="235"/>
      <c r="AS497" s="235"/>
      <c r="AT497" s="235"/>
      <c r="AU497" s="235"/>
      <c r="AV497" s="235"/>
      <c r="AW497" s="235"/>
      <c r="AX497" s="235"/>
      <c r="AY497" s="235"/>
      <c r="AZ497" s="235"/>
      <c r="BA497" s="235"/>
      <c r="BB497" s="235"/>
      <c r="BC497" s="235"/>
      <c r="BD497" s="235"/>
      <c r="BE497" s="235"/>
      <c r="BF497" s="235"/>
      <c r="BG497" s="235"/>
      <c r="BH497" s="235" t="s">
        <v>879</v>
      </c>
      <c r="BI497" s="226" t="s">
        <v>71</v>
      </c>
      <c r="BJ497" s="226"/>
      <c r="BK497" s="66" t="s">
        <v>398</v>
      </c>
      <c r="BL497" s="218" t="s">
        <v>926</v>
      </c>
      <c r="BM497" s="218" t="s">
        <v>1026</v>
      </c>
    </row>
    <row r="498" spans="1:65" s="252" customFormat="1" ht="45" customHeight="1" x14ac:dyDescent="0.25">
      <c r="A498" s="211">
        <f>A497+1</f>
        <v>277</v>
      </c>
      <c r="B498" s="237" t="s">
        <v>927</v>
      </c>
      <c r="C498" s="226" t="s">
        <v>71</v>
      </c>
      <c r="D498" s="243" t="s">
        <v>50</v>
      </c>
      <c r="E498" s="28">
        <f t="shared" si="150"/>
        <v>0.54</v>
      </c>
      <c r="F498" s="28">
        <v>0.19</v>
      </c>
      <c r="G498" s="28">
        <f t="shared" si="148"/>
        <v>0.35</v>
      </c>
      <c r="H498" s="222"/>
      <c r="I498" s="222"/>
      <c r="J498" s="222"/>
      <c r="K498" s="222"/>
      <c r="L498" s="222"/>
      <c r="M498" s="222"/>
      <c r="N498" s="222"/>
      <c r="O498" s="222"/>
      <c r="P498" s="222"/>
      <c r="Q498" s="222"/>
      <c r="R498" s="222"/>
      <c r="S498" s="222"/>
      <c r="T498" s="222"/>
      <c r="U498" s="222">
        <f>SUM(V498:X498)</f>
        <v>0.31</v>
      </c>
      <c r="V498" s="92">
        <v>0.31</v>
      </c>
      <c r="W498" s="92"/>
      <c r="X498" s="92"/>
      <c r="Y498" s="222"/>
      <c r="Z498" s="222"/>
      <c r="AA498" s="235"/>
      <c r="AB498" s="235"/>
      <c r="AC498" s="235"/>
      <c r="AD498" s="235"/>
      <c r="AE498" s="235"/>
      <c r="AF498" s="235"/>
      <c r="AG498" s="235"/>
      <c r="AH498" s="235"/>
      <c r="AI498" s="235">
        <v>0.04</v>
      </c>
      <c r="AJ498" s="235"/>
      <c r="AK498" s="235"/>
      <c r="AL498" s="235"/>
      <c r="AM498" s="235"/>
      <c r="AN498" s="235"/>
      <c r="AO498" s="235"/>
      <c r="AP498" s="235"/>
      <c r="AQ498" s="235"/>
      <c r="AR498" s="235"/>
      <c r="AS498" s="235"/>
      <c r="AT498" s="235"/>
      <c r="AU498" s="235"/>
      <c r="AV498" s="235"/>
      <c r="AW498" s="235"/>
      <c r="AX498" s="235"/>
      <c r="AY498" s="235"/>
      <c r="AZ498" s="235"/>
      <c r="BA498" s="235"/>
      <c r="BB498" s="235"/>
      <c r="BC498" s="235"/>
      <c r="BD498" s="235"/>
      <c r="BE498" s="235"/>
      <c r="BF498" s="235"/>
      <c r="BG498" s="235"/>
      <c r="BH498" s="128" t="s">
        <v>76</v>
      </c>
      <c r="BI498" s="226" t="s">
        <v>71</v>
      </c>
      <c r="BJ498" s="226" t="s">
        <v>999</v>
      </c>
      <c r="BK498" s="66" t="s">
        <v>120</v>
      </c>
      <c r="BL498" s="218" t="s">
        <v>924</v>
      </c>
      <c r="BM498" s="218" t="s">
        <v>1026</v>
      </c>
    </row>
    <row r="499" spans="1:65" s="252" customFormat="1" ht="45" customHeight="1" x14ac:dyDescent="0.25">
      <c r="A499" s="211">
        <f>A498+1</f>
        <v>278</v>
      </c>
      <c r="B499" s="143" t="s">
        <v>928</v>
      </c>
      <c r="C499" s="222" t="s">
        <v>71</v>
      </c>
      <c r="D499" s="238" t="s">
        <v>50</v>
      </c>
      <c r="E499" s="73">
        <f t="shared" si="150"/>
        <v>0.36</v>
      </c>
      <c r="F499" s="73">
        <v>0.2</v>
      </c>
      <c r="G499" s="28">
        <f t="shared" si="148"/>
        <v>0.16</v>
      </c>
      <c r="H499" s="222">
        <v>0</v>
      </c>
      <c r="I499" s="222">
        <v>0</v>
      </c>
      <c r="J499" s="222">
        <v>0</v>
      </c>
      <c r="K499" s="222">
        <v>0.06</v>
      </c>
      <c r="L499" s="222">
        <v>0</v>
      </c>
      <c r="M499" s="222">
        <v>0</v>
      </c>
      <c r="N499" s="222">
        <v>0</v>
      </c>
      <c r="O499" s="222">
        <v>0</v>
      </c>
      <c r="P499" s="222">
        <v>0</v>
      </c>
      <c r="Q499" s="222">
        <v>0</v>
      </c>
      <c r="R499" s="222">
        <v>0</v>
      </c>
      <c r="S499" s="222">
        <v>0</v>
      </c>
      <c r="T499" s="222">
        <v>0</v>
      </c>
      <c r="U499" s="222">
        <f>SUM(V499:X499)</f>
        <v>0.05</v>
      </c>
      <c r="V499" s="222">
        <v>0</v>
      </c>
      <c r="W499" s="222">
        <v>0</v>
      </c>
      <c r="X499" s="222">
        <v>0.05</v>
      </c>
      <c r="Y499" s="222">
        <v>0</v>
      </c>
      <c r="Z499" s="222">
        <v>0</v>
      </c>
      <c r="AA499" s="222">
        <v>0</v>
      </c>
      <c r="AB499" s="222">
        <v>0</v>
      </c>
      <c r="AC499" s="222">
        <v>0</v>
      </c>
      <c r="AD499" s="222"/>
      <c r="AE499" s="222"/>
      <c r="AF499" s="222"/>
      <c r="AG499" s="222">
        <v>0</v>
      </c>
      <c r="AH499" s="222">
        <v>0</v>
      </c>
      <c r="AI499" s="222">
        <v>0</v>
      </c>
      <c r="AJ499" s="222">
        <v>0</v>
      </c>
      <c r="AK499" s="222">
        <v>0.05</v>
      </c>
      <c r="AL499" s="222">
        <v>0</v>
      </c>
      <c r="AM499" s="222">
        <v>0</v>
      </c>
      <c r="AN499" s="222">
        <v>0</v>
      </c>
      <c r="AO499" s="222">
        <v>0</v>
      </c>
      <c r="AP499" s="222">
        <v>0</v>
      </c>
      <c r="AQ499" s="222">
        <v>0</v>
      </c>
      <c r="AR499" s="222">
        <v>0</v>
      </c>
      <c r="AS499" s="222">
        <v>0</v>
      </c>
      <c r="AT499" s="222">
        <v>0</v>
      </c>
      <c r="AU499" s="222">
        <v>0</v>
      </c>
      <c r="AV499" s="222">
        <v>0</v>
      </c>
      <c r="AW499" s="222">
        <v>0</v>
      </c>
      <c r="AX499" s="222">
        <v>0</v>
      </c>
      <c r="AY499" s="222">
        <v>0</v>
      </c>
      <c r="AZ499" s="222">
        <v>0</v>
      </c>
      <c r="BA499" s="222">
        <v>0</v>
      </c>
      <c r="BB499" s="222">
        <v>0</v>
      </c>
      <c r="BC499" s="222">
        <v>0</v>
      </c>
      <c r="BD499" s="222">
        <v>0</v>
      </c>
      <c r="BE499" s="222">
        <v>0</v>
      </c>
      <c r="BF499" s="222">
        <v>0</v>
      </c>
      <c r="BG499" s="222">
        <v>0</v>
      </c>
      <c r="BH499" s="222" t="s">
        <v>929</v>
      </c>
      <c r="BI499" s="222" t="s">
        <v>71</v>
      </c>
      <c r="BJ499" s="222" t="s">
        <v>930</v>
      </c>
      <c r="BK499" s="66" t="s">
        <v>120</v>
      </c>
      <c r="BL499" s="218" t="s">
        <v>924</v>
      </c>
      <c r="BM499" s="238" t="s">
        <v>1026</v>
      </c>
    </row>
    <row r="500" spans="1:65" s="252" customFormat="1" ht="63" x14ac:dyDescent="0.25">
      <c r="A500" s="211">
        <f>A499+1</f>
        <v>279</v>
      </c>
      <c r="B500" s="212" t="s">
        <v>931</v>
      </c>
      <c r="C500" s="219" t="s">
        <v>82</v>
      </c>
      <c r="D500" s="218" t="s">
        <v>50</v>
      </c>
      <c r="E500" s="28">
        <f t="shared" si="150"/>
        <v>0.54</v>
      </c>
      <c r="F500" s="28"/>
      <c r="G500" s="28">
        <f t="shared" si="148"/>
        <v>0.54</v>
      </c>
      <c r="H500" s="222"/>
      <c r="I500" s="222"/>
      <c r="J500" s="222"/>
      <c r="K500" s="222">
        <v>0.34</v>
      </c>
      <c r="L500" s="222"/>
      <c r="M500" s="222">
        <f>SUM(N500:P500)</f>
        <v>0</v>
      </c>
      <c r="N500" s="222"/>
      <c r="O500" s="222"/>
      <c r="P500" s="222"/>
      <c r="Q500" s="222">
        <f>R500+S500+T500</f>
        <v>0</v>
      </c>
      <c r="R500" s="222"/>
      <c r="S500" s="222"/>
      <c r="T500" s="222"/>
      <c r="U500" s="222">
        <f>SUM(V500:X500)</f>
        <v>0.2</v>
      </c>
      <c r="V500" s="92">
        <v>0.2</v>
      </c>
      <c r="W500" s="222"/>
      <c r="X500" s="222"/>
      <c r="Y500" s="222"/>
      <c r="Z500" s="222"/>
      <c r="AA500" s="235"/>
      <c r="AB500" s="235"/>
      <c r="AC500" s="235"/>
      <c r="AD500" s="235"/>
      <c r="AE500" s="235"/>
      <c r="AF500" s="235"/>
      <c r="AG500" s="235"/>
      <c r="AH500" s="235"/>
      <c r="AI500" s="235"/>
      <c r="AJ500" s="235"/>
      <c r="AK500" s="235"/>
      <c r="AL500" s="235"/>
      <c r="AM500" s="235"/>
      <c r="AN500" s="235"/>
      <c r="AO500" s="235"/>
      <c r="AP500" s="235"/>
      <c r="AQ500" s="235"/>
      <c r="AR500" s="235"/>
      <c r="AS500" s="235"/>
      <c r="AT500" s="235"/>
      <c r="AU500" s="235"/>
      <c r="AV500" s="235"/>
      <c r="AW500" s="235"/>
      <c r="AX500" s="235"/>
      <c r="AY500" s="235"/>
      <c r="AZ500" s="235"/>
      <c r="BA500" s="235"/>
      <c r="BB500" s="235"/>
      <c r="BC500" s="235"/>
      <c r="BD500" s="235"/>
      <c r="BE500" s="235"/>
      <c r="BF500" s="235"/>
      <c r="BG500" s="235"/>
      <c r="BH500" s="232" t="s">
        <v>703</v>
      </c>
      <c r="BI500" s="219" t="s">
        <v>82</v>
      </c>
      <c r="BJ500" s="65" t="s">
        <v>932</v>
      </c>
      <c r="BK500" s="66" t="s">
        <v>398</v>
      </c>
      <c r="BL500" s="218" t="s">
        <v>924</v>
      </c>
      <c r="BM500" s="238" t="s">
        <v>1026</v>
      </c>
    </row>
    <row r="501" spans="1:65" s="252" customFormat="1" ht="31.5" x14ac:dyDescent="0.25">
      <c r="A501" s="211">
        <f>A500+1</f>
        <v>280</v>
      </c>
      <c r="B501" s="237" t="s">
        <v>933</v>
      </c>
      <c r="C501" s="219" t="s">
        <v>82</v>
      </c>
      <c r="D501" s="218" t="s">
        <v>50</v>
      </c>
      <c r="E501" s="20">
        <f t="shared" si="150"/>
        <v>0.5</v>
      </c>
      <c r="F501" s="28"/>
      <c r="G501" s="28">
        <f t="shared" si="148"/>
        <v>0.5</v>
      </c>
      <c r="H501" s="222">
        <v>0.08</v>
      </c>
      <c r="I501" s="222"/>
      <c r="J501" s="222"/>
      <c r="K501" s="222">
        <v>0.09</v>
      </c>
      <c r="L501" s="222"/>
      <c r="M501" s="222">
        <f>SUM(N501:P501)</f>
        <v>0</v>
      </c>
      <c r="N501" s="222"/>
      <c r="O501" s="222"/>
      <c r="P501" s="222"/>
      <c r="Q501" s="222">
        <f>R501+S501+T501</f>
        <v>0</v>
      </c>
      <c r="R501" s="222"/>
      <c r="S501" s="222"/>
      <c r="T501" s="222"/>
      <c r="U501" s="222">
        <f>SUM(V501:X501)</f>
        <v>0.27</v>
      </c>
      <c r="V501" s="92">
        <v>0.27</v>
      </c>
      <c r="W501" s="92"/>
      <c r="X501" s="92"/>
      <c r="Y501" s="92">
        <v>0.01</v>
      </c>
      <c r="Z501" s="92"/>
      <c r="AA501" s="49"/>
      <c r="AB501" s="49"/>
      <c r="AC501" s="49"/>
      <c r="AD501" s="49"/>
      <c r="AE501" s="49"/>
      <c r="AF501" s="49"/>
      <c r="AG501" s="49"/>
      <c r="AH501" s="49"/>
      <c r="AI501" s="49"/>
      <c r="AJ501" s="49"/>
      <c r="AK501" s="49"/>
      <c r="AL501" s="49"/>
      <c r="AM501" s="49"/>
      <c r="AN501" s="49"/>
      <c r="AO501" s="49"/>
      <c r="AP501" s="49"/>
      <c r="AQ501" s="49"/>
      <c r="AR501" s="49"/>
      <c r="AS501" s="49"/>
      <c r="AT501" s="49">
        <f>0.05</f>
        <v>0.05</v>
      </c>
      <c r="AU501" s="49"/>
      <c r="AV501" s="49"/>
      <c r="AW501" s="49"/>
      <c r="AX501" s="49"/>
      <c r="AY501" s="49"/>
      <c r="AZ501" s="49"/>
      <c r="BA501" s="49"/>
      <c r="BB501" s="49"/>
      <c r="BC501" s="49"/>
      <c r="BD501" s="49"/>
      <c r="BE501" s="49"/>
      <c r="BF501" s="49"/>
      <c r="BG501" s="49"/>
      <c r="BH501" s="63" t="s">
        <v>417</v>
      </c>
      <c r="BI501" s="219" t="s">
        <v>82</v>
      </c>
      <c r="BJ501" s="63" t="s">
        <v>934</v>
      </c>
      <c r="BK501" s="66" t="s">
        <v>120</v>
      </c>
      <c r="BL501" s="218" t="s">
        <v>926</v>
      </c>
      <c r="BM501" s="238" t="s">
        <v>1026</v>
      </c>
    </row>
    <row r="502" spans="1:65" s="252" customFormat="1" ht="26.25" customHeight="1" x14ac:dyDescent="0.25">
      <c r="A502" s="56" t="s">
        <v>935</v>
      </c>
      <c r="B502" s="163" t="s">
        <v>227</v>
      </c>
      <c r="C502" s="226"/>
      <c r="D502" s="44"/>
      <c r="E502" s="69">
        <f t="shared" si="150"/>
        <v>6.92</v>
      </c>
      <c r="F502" s="46">
        <f>SUM(F503:F507)</f>
        <v>0</v>
      </c>
      <c r="G502" s="46">
        <f>SUM(G503:G508)</f>
        <v>6.92</v>
      </c>
      <c r="H502" s="46">
        <f>SUM(H503:H508)</f>
        <v>0.21000000000000002</v>
      </c>
      <c r="I502" s="46">
        <f t="shared" ref="I502:BG502" si="151">SUM(I503:I508)</f>
        <v>0.16</v>
      </c>
      <c r="J502" s="46">
        <f t="shared" si="151"/>
        <v>0</v>
      </c>
      <c r="K502" s="46">
        <f t="shared" si="151"/>
        <v>0.2</v>
      </c>
      <c r="L502" s="46">
        <f t="shared" si="151"/>
        <v>0</v>
      </c>
      <c r="M502" s="46">
        <f t="shared" si="151"/>
        <v>0</v>
      </c>
      <c r="N502" s="46">
        <f t="shared" si="151"/>
        <v>0</v>
      </c>
      <c r="O502" s="46">
        <f t="shared" si="151"/>
        <v>0</v>
      </c>
      <c r="P502" s="46">
        <f t="shared" si="151"/>
        <v>0</v>
      </c>
      <c r="Q502" s="46">
        <f t="shared" si="151"/>
        <v>0</v>
      </c>
      <c r="R502" s="46">
        <f t="shared" si="151"/>
        <v>0</v>
      </c>
      <c r="S502" s="46">
        <f t="shared" si="151"/>
        <v>0</v>
      </c>
      <c r="T502" s="46">
        <f t="shared" si="151"/>
        <v>0</v>
      </c>
      <c r="U502" s="47">
        <f t="shared" si="151"/>
        <v>5.32</v>
      </c>
      <c r="V502" s="46">
        <f t="shared" si="151"/>
        <v>4.5600000000000005</v>
      </c>
      <c r="W502" s="46">
        <f t="shared" si="151"/>
        <v>0.76</v>
      </c>
      <c r="X502" s="46">
        <f t="shared" si="151"/>
        <v>0</v>
      </c>
      <c r="Y502" s="46">
        <f t="shared" si="151"/>
        <v>0</v>
      </c>
      <c r="Z502" s="46">
        <f t="shared" si="151"/>
        <v>0</v>
      </c>
      <c r="AA502" s="46">
        <f t="shared" si="151"/>
        <v>0</v>
      </c>
      <c r="AB502" s="46">
        <f t="shared" si="151"/>
        <v>0</v>
      </c>
      <c r="AC502" s="46">
        <f t="shared" si="151"/>
        <v>0</v>
      </c>
      <c r="AD502" s="46">
        <f t="shared" si="151"/>
        <v>0</v>
      </c>
      <c r="AE502" s="46">
        <f t="shared" si="151"/>
        <v>0</v>
      </c>
      <c r="AF502" s="46">
        <f t="shared" si="151"/>
        <v>0.01</v>
      </c>
      <c r="AG502" s="46">
        <f t="shared" si="151"/>
        <v>0.02</v>
      </c>
      <c r="AH502" s="46">
        <f t="shared" si="151"/>
        <v>0</v>
      </c>
      <c r="AI502" s="46">
        <f t="shared" si="151"/>
        <v>0</v>
      </c>
      <c r="AJ502" s="46">
        <f t="shared" si="151"/>
        <v>0</v>
      </c>
      <c r="AK502" s="46">
        <f t="shared" si="151"/>
        <v>0</v>
      </c>
      <c r="AL502" s="46">
        <f t="shared" si="151"/>
        <v>0</v>
      </c>
      <c r="AM502" s="46">
        <f t="shared" si="151"/>
        <v>0</v>
      </c>
      <c r="AN502" s="46">
        <f t="shared" si="151"/>
        <v>0</v>
      </c>
      <c r="AO502" s="46">
        <f t="shared" si="151"/>
        <v>0</v>
      </c>
      <c r="AP502" s="46">
        <f t="shared" si="151"/>
        <v>0</v>
      </c>
      <c r="AQ502" s="46">
        <f t="shared" si="151"/>
        <v>0</v>
      </c>
      <c r="AR502" s="46">
        <f t="shared" si="151"/>
        <v>0</v>
      </c>
      <c r="AS502" s="46">
        <f t="shared" si="151"/>
        <v>0</v>
      </c>
      <c r="AT502" s="46">
        <f t="shared" si="151"/>
        <v>0</v>
      </c>
      <c r="AU502" s="46">
        <f t="shared" si="151"/>
        <v>0</v>
      </c>
      <c r="AV502" s="46">
        <f t="shared" si="151"/>
        <v>0</v>
      </c>
      <c r="AW502" s="46">
        <f t="shared" si="151"/>
        <v>0</v>
      </c>
      <c r="AX502" s="46">
        <f t="shared" si="151"/>
        <v>0</v>
      </c>
      <c r="AY502" s="46">
        <f t="shared" si="151"/>
        <v>0</v>
      </c>
      <c r="AZ502" s="46">
        <f t="shared" si="151"/>
        <v>0</v>
      </c>
      <c r="BA502" s="46">
        <f t="shared" si="151"/>
        <v>0</v>
      </c>
      <c r="BB502" s="46">
        <f t="shared" si="151"/>
        <v>0</v>
      </c>
      <c r="BC502" s="46">
        <f t="shared" si="151"/>
        <v>0</v>
      </c>
      <c r="BD502" s="46">
        <f t="shared" si="151"/>
        <v>0</v>
      </c>
      <c r="BE502" s="46">
        <f t="shared" si="151"/>
        <v>0</v>
      </c>
      <c r="BF502" s="46">
        <f t="shared" si="151"/>
        <v>0</v>
      </c>
      <c r="BG502" s="46">
        <f t="shared" si="151"/>
        <v>1</v>
      </c>
      <c r="BH502" s="46"/>
      <c r="BI502" s="226"/>
      <c r="BJ502" s="226"/>
      <c r="BK502" s="241"/>
      <c r="BL502" s="218"/>
      <c r="BM502" s="226"/>
    </row>
    <row r="503" spans="1:65" s="252" customFormat="1" ht="39" customHeight="1" x14ac:dyDescent="0.25">
      <c r="A503" s="245">
        <f>A501+1</f>
        <v>281</v>
      </c>
      <c r="B503" s="221" t="s">
        <v>936</v>
      </c>
      <c r="C503" s="226" t="s">
        <v>142</v>
      </c>
      <c r="D503" s="33" t="s">
        <v>228</v>
      </c>
      <c r="E503" s="28">
        <f>F503+G503</f>
        <v>4</v>
      </c>
      <c r="F503" s="28"/>
      <c r="G503" s="28">
        <f>SUM(H503:M503,Q503,U503,Y503:BG503)</f>
        <v>4</v>
      </c>
      <c r="H503" s="33"/>
      <c r="I503" s="51"/>
      <c r="J503" s="51"/>
      <c r="K503" s="51"/>
      <c r="L503" s="51"/>
      <c r="M503" s="235">
        <f>SUM(N503:P503)</f>
        <v>0</v>
      </c>
      <c r="N503" s="33"/>
      <c r="O503" s="33"/>
      <c r="P503" s="33"/>
      <c r="Q503" s="33"/>
      <c r="R503" s="33"/>
      <c r="S503" s="33"/>
      <c r="T503" s="33"/>
      <c r="U503" s="33">
        <f t="shared" ref="U503:U507" si="152">SUM(V503:X503)</f>
        <v>4</v>
      </c>
      <c r="V503" s="33">
        <v>4</v>
      </c>
      <c r="W503" s="33"/>
      <c r="X503" s="33"/>
      <c r="Y503" s="213"/>
      <c r="Z503" s="33"/>
      <c r="AA503" s="51"/>
      <c r="AB503" s="51"/>
      <c r="AC503" s="33"/>
      <c r="AD503" s="51"/>
      <c r="AE503" s="51"/>
      <c r="AF503" s="51"/>
      <c r="AG503" s="51"/>
      <c r="AH503" s="51"/>
      <c r="AI503" s="51"/>
      <c r="AJ503" s="51"/>
      <c r="AK503" s="51"/>
      <c r="AL503" s="51"/>
      <c r="AM503" s="51"/>
      <c r="AN503" s="51"/>
      <c r="AO503" s="51"/>
      <c r="AP503" s="51"/>
      <c r="AQ503" s="51"/>
      <c r="AR503" s="33"/>
      <c r="AS503" s="51"/>
      <c r="AT503" s="51"/>
      <c r="AU503" s="51"/>
      <c r="AV503" s="51"/>
      <c r="AW503" s="51"/>
      <c r="AX503" s="51"/>
      <c r="AY503" s="51"/>
      <c r="AZ503" s="51"/>
      <c r="BA503" s="51"/>
      <c r="BB503" s="51"/>
      <c r="BC503" s="51"/>
      <c r="BD503" s="51"/>
      <c r="BE503" s="51"/>
      <c r="BF503" s="33"/>
      <c r="BG503" s="33"/>
      <c r="BH503" s="33" t="s">
        <v>937</v>
      </c>
      <c r="BI503" s="226" t="s">
        <v>142</v>
      </c>
      <c r="BJ503" s="241" t="s">
        <v>938</v>
      </c>
      <c r="BK503" s="66" t="s">
        <v>120</v>
      </c>
      <c r="BL503" s="238" t="s">
        <v>202</v>
      </c>
      <c r="BM503" s="226" t="s">
        <v>1026</v>
      </c>
    </row>
    <row r="504" spans="1:65" s="252" customFormat="1" ht="94.5" x14ac:dyDescent="0.25">
      <c r="A504" s="407">
        <f>A503+1</f>
        <v>282</v>
      </c>
      <c r="B504" s="408" t="s">
        <v>939</v>
      </c>
      <c r="C504" s="226" t="s">
        <v>122</v>
      </c>
      <c r="D504" s="33" t="s">
        <v>228</v>
      </c>
      <c r="E504" s="28">
        <f t="shared" si="150"/>
        <v>0.72</v>
      </c>
      <c r="F504" s="20"/>
      <c r="G504" s="28">
        <v>0.72</v>
      </c>
      <c r="H504" s="235">
        <v>0.1</v>
      </c>
      <c r="I504" s="235">
        <v>0.16</v>
      </c>
      <c r="J504" s="235"/>
      <c r="K504" s="235">
        <v>0.2</v>
      </c>
      <c r="L504" s="235"/>
      <c r="M504" s="235"/>
      <c r="N504" s="235"/>
      <c r="O504" s="235"/>
      <c r="P504" s="235"/>
      <c r="Q504" s="33">
        <v>0</v>
      </c>
      <c r="R504" s="235"/>
      <c r="S504" s="235"/>
      <c r="T504" s="235"/>
      <c r="U504" s="33">
        <f t="shared" si="152"/>
        <v>0.26</v>
      </c>
      <c r="V504" s="179"/>
      <c r="W504" s="235">
        <v>0.26</v>
      </c>
      <c r="X504" s="235"/>
      <c r="Y504" s="235"/>
      <c r="Z504" s="235"/>
      <c r="AA504" s="235"/>
      <c r="AB504" s="235"/>
      <c r="AC504" s="235"/>
      <c r="AD504" s="235"/>
      <c r="AE504" s="235"/>
      <c r="AF504" s="235"/>
      <c r="AG504" s="235"/>
      <c r="AH504" s="235"/>
      <c r="AI504" s="235"/>
      <c r="AJ504" s="235"/>
      <c r="AK504" s="235"/>
      <c r="AL504" s="235"/>
      <c r="AM504" s="235"/>
      <c r="AN504" s="235"/>
      <c r="AO504" s="235"/>
      <c r="AP504" s="235"/>
      <c r="AQ504" s="235"/>
      <c r="AR504" s="235"/>
      <c r="AS504" s="235"/>
      <c r="AT504" s="235"/>
      <c r="AU504" s="235"/>
      <c r="AV504" s="235"/>
      <c r="AW504" s="235"/>
      <c r="AX504" s="235"/>
      <c r="AY504" s="235"/>
      <c r="AZ504" s="235"/>
      <c r="BA504" s="235"/>
      <c r="BB504" s="235"/>
      <c r="BC504" s="235"/>
      <c r="BD504" s="235"/>
      <c r="BE504" s="235"/>
      <c r="BF504" s="235"/>
      <c r="BG504" s="235"/>
      <c r="BH504" s="180" t="s">
        <v>123</v>
      </c>
      <c r="BI504" s="226" t="s">
        <v>122</v>
      </c>
      <c r="BJ504" s="226" t="s">
        <v>940</v>
      </c>
      <c r="BK504" s="66" t="s">
        <v>120</v>
      </c>
      <c r="BL504" s="218" t="s">
        <v>396</v>
      </c>
      <c r="BM504" s="226" t="s">
        <v>1026</v>
      </c>
    </row>
    <row r="505" spans="1:65" s="252" customFormat="1" ht="36.75" customHeight="1" x14ac:dyDescent="0.25">
      <c r="A505" s="407"/>
      <c r="B505" s="408"/>
      <c r="C505" s="226" t="s">
        <v>134</v>
      </c>
      <c r="D505" s="33" t="s">
        <v>228</v>
      </c>
      <c r="E505" s="28">
        <f t="shared" si="150"/>
        <v>0.2</v>
      </c>
      <c r="F505" s="20"/>
      <c r="G505" s="28">
        <f>SUM(H505:M505,Q505,U505,Y505:BG505)</f>
        <v>0.2</v>
      </c>
      <c r="H505" s="235"/>
      <c r="I505" s="235"/>
      <c r="J505" s="235"/>
      <c r="K505" s="235"/>
      <c r="L505" s="235"/>
      <c r="M505" s="235">
        <f>SUM(N505:P505)</f>
        <v>0</v>
      </c>
      <c r="N505" s="235"/>
      <c r="O505" s="235"/>
      <c r="P505" s="235"/>
      <c r="Q505" s="235"/>
      <c r="R505" s="235"/>
      <c r="S505" s="235"/>
      <c r="T505" s="235"/>
      <c r="U505" s="33">
        <f t="shared" si="152"/>
        <v>0.2</v>
      </c>
      <c r="V505" s="235">
        <v>0.2</v>
      </c>
      <c r="W505" s="235"/>
      <c r="X505" s="235"/>
      <c r="Y505" s="235"/>
      <c r="Z505" s="235"/>
      <c r="AA505" s="235"/>
      <c r="AB505" s="235"/>
      <c r="AC505" s="235"/>
      <c r="AD505" s="235"/>
      <c r="AE505" s="235"/>
      <c r="AF505" s="235"/>
      <c r="AG505" s="235"/>
      <c r="AH505" s="235"/>
      <c r="AI505" s="235"/>
      <c r="AJ505" s="235"/>
      <c r="AK505" s="235"/>
      <c r="AL505" s="235"/>
      <c r="AM505" s="235"/>
      <c r="AN505" s="235"/>
      <c r="AO505" s="235"/>
      <c r="AP505" s="235"/>
      <c r="AQ505" s="235"/>
      <c r="AR505" s="235"/>
      <c r="AS505" s="235"/>
      <c r="AT505" s="235"/>
      <c r="AU505" s="235"/>
      <c r="AV505" s="235"/>
      <c r="AW505" s="235"/>
      <c r="AX505" s="235"/>
      <c r="AY505" s="235"/>
      <c r="AZ505" s="235"/>
      <c r="BA505" s="235"/>
      <c r="BB505" s="235"/>
      <c r="BC505" s="235"/>
      <c r="BD505" s="235"/>
      <c r="BE505" s="235"/>
      <c r="BF505" s="235"/>
      <c r="BG505" s="235"/>
      <c r="BH505" s="235" t="s">
        <v>135</v>
      </c>
      <c r="BI505" s="226" t="s">
        <v>134</v>
      </c>
      <c r="BJ505" s="226" t="s">
        <v>941</v>
      </c>
      <c r="BK505" s="66" t="s">
        <v>120</v>
      </c>
      <c r="BL505" s="238" t="s">
        <v>202</v>
      </c>
      <c r="BM505" s="226" t="s">
        <v>1026</v>
      </c>
    </row>
    <row r="506" spans="1:65" s="252" customFormat="1" ht="36.75" customHeight="1" x14ac:dyDescent="0.25">
      <c r="A506" s="407"/>
      <c r="B506" s="408"/>
      <c r="C506" s="226" t="s">
        <v>138</v>
      </c>
      <c r="D506" s="33" t="s">
        <v>228</v>
      </c>
      <c r="E506" s="28">
        <f t="shared" si="150"/>
        <v>0.25</v>
      </c>
      <c r="F506" s="20"/>
      <c r="G506" s="28">
        <f>SUM(H506:M506,Q506,U506,Y506:BG506)</f>
        <v>0.25</v>
      </c>
      <c r="H506" s="235"/>
      <c r="I506" s="235"/>
      <c r="J506" s="235"/>
      <c r="K506" s="235"/>
      <c r="L506" s="235"/>
      <c r="M506" s="235">
        <f>SUM(N506:P506)</f>
        <v>0</v>
      </c>
      <c r="N506" s="235"/>
      <c r="O506" s="235"/>
      <c r="P506" s="235"/>
      <c r="Q506" s="235"/>
      <c r="R506" s="235"/>
      <c r="S506" s="235"/>
      <c r="T506" s="235"/>
      <c r="U506" s="33">
        <f t="shared" si="152"/>
        <v>0.25</v>
      </c>
      <c r="V506" s="235">
        <v>0.25</v>
      </c>
      <c r="W506" s="235"/>
      <c r="X506" s="235"/>
      <c r="Y506" s="235"/>
      <c r="Z506" s="235"/>
      <c r="AA506" s="235"/>
      <c r="AB506" s="235"/>
      <c r="AC506" s="235"/>
      <c r="AD506" s="235"/>
      <c r="AE506" s="235"/>
      <c r="AF506" s="235"/>
      <c r="AG506" s="235"/>
      <c r="AH506" s="235"/>
      <c r="AI506" s="235"/>
      <c r="AJ506" s="235"/>
      <c r="AK506" s="235"/>
      <c r="AL506" s="235"/>
      <c r="AM506" s="235"/>
      <c r="AN506" s="235"/>
      <c r="AO506" s="235"/>
      <c r="AP506" s="235"/>
      <c r="AQ506" s="235"/>
      <c r="AR506" s="235"/>
      <c r="AS506" s="235"/>
      <c r="AT506" s="235"/>
      <c r="AU506" s="235"/>
      <c r="AV506" s="235"/>
      <c r="AW506" s="235"/>
      <c r="AX506" s="235"/>
      <c r="AY506" s="235"/>
      <c r="AZ506" s="235"/>
      <c r="BA506" s="235"/>
      <c r="BB506" s="235"/>
      <c r="BC506" s="235"/>
      <c r="BD506" s="235"/>
      <c r="BE506" s="235"/>
      <c r="BF506" s="235"/>
      <c r="BG506" s="235"/>
      <c r="BH506" s="235" t="s">
        <v>139</v>
      </c>
      <c r="BI506" s="226" t="s">
        <v>138</v>
      </c>
      <c r="BJ506" s="226" t="s">
        <v>942</v>
      </c>
      <c r="BK506" s="66" t="s">
        <v>120</v>
      </c>
      <c r="BL506" s="238" t="s">
        <v>202</v>
      </c>
      <c r="BM506" s="226" t="s">
        <v>1026</v>
      </c>
    </row>
    <row r="507" spans="1:65" s="252" customFormat="1" ht="36.75" customHeight="1" x14ac:dyDescent="0.25">
      <c r="A507" s="407"/>
      <c r="B507" s="408"/>
      <c r="C507" s="219" t="s">
        <v>166</v>
      </c>
      <c r="D507" s="33" t="s">
        <v>228</v>
      </c>
      <c r="E507" s="28">
        <f>F507+G507</f>
        <v>0.75</v>
      </c>
      <c r="F507" s="20"/>
      <c r="G507" s="28">
        <f>SUM(H507:M507,Q507,U507,Y507:BG507)</f>
        <v>0.75</v>
      </c>
      <c r="H507" s="235">
        <v>0.11</v>
      </c>
      <c r="I507" s="235"/>
      <c r="J507" s="235"/>
      <c r="K507" s="235"/>
      <c r="L507" s="235"/>
      <c r="M507" s="235">
        <f>SUM(N507:P507)</f>
        <v>0</v>
      </c>
      <c r="N507" s="235"/>
      <c r="O507" s="235"/>
      <c r="P507" s="235"/>
      <c r="Q507" s="235"/>
      <c r="R507" s="235"/>
      <c r="S507" s="235"/>
      <c r="T507" s="235"/>
      <c r="U507" s="33">
        <f t="shared" si="152"/>
        <v>0.61</v>
      </c>
      <c r="V507" s="235">
        <v>0.11</v>
      </c>
      <c r="W507" s="235">
        <v>0.5</v>
      </c>
      <c r="X507" s="235"/>
      <c r="Y507" s="235"/>
      <c r="Z507" s="235"/>
      <c r="AA507" s="235"/>
      <c r="AB507" s="235"/>
      <c r="AC507" s="235"/>
      <c r="AD507" s="235"/>
      <c r="AE507" s="235"/>
      <c r="AF507" s="235">
        <v>0.01</v>
      </c>
      <c r="AG507" s="235">
        <v>0.02</v>
      </c>
      <c r="AH507" s="235"/>
      <c r="AI507" s="235"/>
      <c r="AJ507" s="235"/>
      <c r="AK507" s="235"/>
      <c r="AL507" s="235"/>
      <c r="AM507" s="235"/>
      <c r="AN507" s="235"/>
      <c r="AO507" s="235"/>
      <c r="AP507" s="235"/>
      <c r="AQ507" s="235"/>
      <c r="AR507" s="235"/>
      <c r="AS507" s="235"/>
      <c r="AT507" s="235"/>
      <c r="AU507" s="235"/>
      <c r="AV507" s="235"/>
      <c r="AW507" s="235"/>
      <c r="AX507" s="235"/>
      <c r="AY507" s="235"/>
      <c r="AZ507" s="235"/>
      <c r="BA507" s="235"/>
      <c r="BB507" s="235"/>
      <c r="BC507" s="235"/>
      <c r="BD507" s="235"/>
      <c r="BE507" s="235"/>
      <c r="BF507" s="235"/>
      <c r="BG507" s="235"/>
      <c r="BH507" s="235" t="s">
        <v>167</v>
      </c>
      <c r="BI507" s="219" t="s">
        <v>166</v>
      </c>
      <c r="BJ507" s="219" t="s">
        <v>943</v>
      </c>
      <c r="BK507" s="66" t="s">
        <v>398</v>
      </c>
      <c r="BL507" s="238" t="s">
        <v>202</v>
      </c>
      <c r="BM507" s="226" t="s">
        <v>1026</v>
      </c>
    </row>
    <row r="508" spans="1:65" s="252" customFormat="1" ht="36.75" customHeight="1" x14ac:dyDescent="0.25">
      <c r="A508" s="215">
        <f>A504+1</f>
        <v>283</v>
      </c>
      <c r="B508" s="237" t="s">
        <v>944</v>
      </c>
      <c r="C508" s="90" t="s">
        <v>65</v>
      </c>
      <c r="D508" s="33" t="s">
        <v>228</v>
      </c>
      <c r="E508" s="28">
        <f>F508+G508</f>
        <v>1</v>
      </c>
      <c r="F508" s="21"/>
      <c r="G508" s="28">
        <f>SUM(H508:M508,Q508,U508,Y508:BG508)</f>
        <v>1</v>
      </c>
      <c r="H508" s="62"/>
      <c r="I508" s="62"/>
      <c r="J508" s="62"/>
      <c r="K508" s="62"/>
      <c r="L508" s="62"/>
      <c r="M508" s="235">
        <v>0</v>
      </c>
      <c r="N508" s="62"/>
      <c r="O508" s="62"/>
      <c r="P508" s="62"/>
      <c r="Q508" s="62"/>
      <c r="R508" s="62"/>
      <c r="S508" s="62"/>
      <c r="T508" s="62"/>
      <c r="U508" s="33"/>
      <c r="V508" s="49"/>
      <c r="W508" s="49"/>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235"/>
      <c r="AX508" s="235"/>
      <c r="AY508" s="235"/>
      <c r="AZ508" s="235"/>
      <c r="BA508" s="235"/>
      <c r="BB508" s="235"/>
      <c r="BC508" s="235"/>
      <c r="BD508" s="235"/>
      <c r="BE508" s="235"/>
      <c r="BF508" s="235"/>
      <c r="BG508" s="235">
        <v>1</v>
      </c>
      <c r="BH508" s="232" t="s">
        <v>875</v>
      </c>
      <c r="BI508" s="90" t="s">
        <v>65</v>
      </c>
      <c r="BJ508" s="90"/>
      <c r="BK508" s="66" t="s">
        <v>398</v>
      </c>
      <c r="BL508" s="238" t="s">
        <v>1013</v>
      </c>
      <c r="BM508" s="236" t="s">
        <v>206</v>
      </c>
    </row>
    <row r="509" spans="1:65" s="254" customFormat="1" ht="24.75" customHeight="1" x14ac:dyDescent="0.25">
      <c r="A509" s="56" t="s">
        <v>945</v>
      </c>
      <c r="B509" s="163" t="s">
        <v>946</v>
      </c>
      <c r="C509" s="164"/>
      <c r="D509" s="230"/>
      <c r="E509" s="69">
        <f>F509+G509</f>
        <v>122.32</v>
      </c>
      <c r="F509" s="93"/>
      <c r="G509" s="69">
        <f>SUM(H509:M509,Q509,U509,Y509:BG509)</f>
        <v>122.32</v>
      </c>
      <c r="H509" s="165">
        <f>H510</f>
        <v>0</v>
      </c>
      <c r="I509" s="165">
        <f t="shared" ref="I509:BG509" si="153">I510</f>
        <v>58.32</v>
      </c>
      <c r="J509" s="165">
        <f t="shared" si="153"/>
        <v>0</v>
      </c>
      <c r="K509" s="165">
        <f t="shared" si="153"/>
        <v>64</v>
      </c>
      <c r="L509" s="165">
        <f t="shared" si="153"/>
        <v>0</v>
      </c>
      <c r="M509" s="165">
        <f t="shared" si="153"/>
        <v>0</v>
      </c>
      <c r="N509" s="165">
        <f t="shared" si="153"/>
        <v>0</v>
      </c>
      <c r="O509" s="165">
        <f t="shared" si="153"/>
        <v>0</v>
      </c>
      <c r="P509" s="165">
        <f t="shared" si="153"/>
        <v>0</v>
      </c>
      <c r="Q509" s="165">
        <f t="shared" si="153"/>
        <v>0</v>
      </c>
      <c r="R509" s="165">
        <f t="shared" si="153"/>
        <v>0</v>
      </c>
      <c r="S509" s="165">
        <f t="shared" si="153"/>
        <v>0</v>
      </c>
      <c r="T509" s="165">
        <f t="shared" si="153"/>
        <v>0</v>
      </c>
      <c r="U509" s="165">
        <f t="shared" si="153"/>
        <v>0</v>
      </c>
      <c r="V509" s="165">
        <f t="shared" si="153"/>
        <v>0</v>
      </c>
      <c r="W509" s="165">
        <f t="shared" si="153"/>
        <v>0</v>
      </c>
      <c r="X509" s="165">
        <f t="shared" si="153"/>
        <v>0</v>
      </c>
      <c r="Y509" s="165">
        <f t="shared" si="153"/>
        <v>0</v>
      </c>
      <c r="Z509" s="165">
        <f t="shared" si="153"/>
        <v>0</v>
      </c>
      <c r="AA509" s="165">
        <f t="shared" si="153"/>
        <v>0</v>
      </c>
      <c r="AB509" s="165">
        <f t="shared" si="153"/>
        <v>0</v>
      </c>
      <c r="AC509" s="165">
        <f t="shared" si="153"/>
        <v>0</v>
      </c>
      <c r="AD509" s="165">
        <f t="shared" si="153"/>
        <v>0</v>
      </c>
      <c r="AE509" s="165">
        <f t="shared" si="153"/>
        <v>0</v>
      </c>
      <c r="AF509" s="165">
        <f t="shared" si="153"/>
        <v>0</v>
      </c>
      <c r="AG509" s="165">
        <f t="shared" si="153"/>
        <v>0</v>
      </c>
      <c r="AH509" s="165">
        <f t="shared" si="153"/>
        <v>0</v>
      </c>
      <c r="AI509" s="165">
        <f t="shared" si="153"/>
        <v>0</v>
      </c>
      <c r="AJ509" s="165">
        <f t="shared" si="153"/>
        <v>0</v>
      </c>
      <c r="AK509" s="165">
        <f t="shared" si="153"/>
        <v>0</v>
      </c>
      <c r="AL509" s="165">
        <f t="shared" si="153"/>
        <v>0</v>
      </c>
      <c r="AM509" s="165">
        <f t="shared" si="153"/>
        <v>0</v>
      </c>
      <c r="AN509" s="165">
        <f t="shared" si="153"/>
        <v>0</v>
      </c>
      <c r="AO509" s="165">
        <f t="shared" si="153"/>
        <v>0</v>
      </c>
      <c r="AP509" s="165">
        <f t="shared" si="153"/>
        <v>0</v>
      </c>
      <c r="AQ509" s="165">
        <f t="shared" si="153"/>
        <v>0</v>
      </c>
      <c r="AR509" s="165">
        <f t="shared" si="153"/>
        <v>0</v>
      </c>
      <c r="AS509" s="165">
        <f t="shared" si="153"/>
        <v>0</v>
      </c>
      <c r="AT509" s="165">
        <f t="shared" si="153"/>
        <v>0</v>
      </c>
      <c r="AU509" s="165">
        <f t="shared" si="153"/>
        <v>0</v>
      </c>
      <c r="AV509" s="165">
        <f t="shared" si="153"/>
        <v>0</v>
      </c>
      <c r="AW509" s="165">
        <f t="shared" si="153"/>
        <v>0</v>
      </c>
      <c r="AX509" s="165">
        <f t="shared" si="153"/>
        <v>0</v>
      </c>
      <c r="AY509" s="165">
        <f t="shared" si="153"/>
        <v>0</v>
      </c>
      <c r="AZ509" s="165">
        <f t="shared" si="153"/>
        <v>0</v>
      </c>
      <c r="BA509" s="165">
        <f t="shared" si="153"/>
        <v>0</v>
      </c>
      <c r="BB509" s="165">
        <f t="shared" si="153"/>
        <v>0</v>
      </c>
      <c r="BC509" s="165">
        <f t="shared" si="153"/>
        <v>0</v>
      </c>
      <c r="BD509" s="165">
        <f t="shared" si="153"/>
        <v>0</v>
      </c>
      <c r="BE509" s="165">
        <f t="shared" si="153"/>
        <v>0</v>
      </c>
      <c r="BF509" s="165">
        <f t="shared" si="153"/>
        <v>0</v>
      </c>
      <c r="BG509" s="165">
        <f t="shared" si="153"/>
        <v>0</v>
      </c>
      <c r="BH509" s="231"/>
      <c r="BI509" s="164"/>
      <c r="BJ509" s="164"/>
      <c r="BK509" s="166"/>
      <c r="BL509" s="229"/>
      <c r="BM509" s="58"/>
    </row>
    <row r="510" spans="1:65" s="252" customFormat="1" ht="70.5" customHeight="1" x14ac:dyDescent="0.25">
      <c r="A510" s="215">
        <f>A508+1</f>
        <v>284</v>
      </c>
      <c r="B510" s="35" t="s">
        <v>947</v>
      </c>
      <c r="C510" s="219" t="s">
        <v>948</v>
      </c>
      <c r="D510" s="33" t="s">
        <v>949</v>
      </c>
      <c r="E510" s="20">
        <f>F510+G510</f>
        <v>122.32</v>
      </c>
      <c r="F510" s="28"/>
      <c r="G510" s="28">
        <f>SUM(H510:BG510)-U510-M510</f>
        <v>122.32</v>
      </c>
      <c r="H510" s="235"/>
      <c r="I510" s="235">
        <v>58.32</v>
      </c>
      <c r="J510" s="235"/>
      <c r="K510" s="235">
        <v>64</v>
      </c>
      <c r="L510" s="235"/>
      <c r="M510" s="235"/>
      <c r="N510" s="235"/>
      <c r="O510" s="235"/>
      <c r="P510" s="235"/>
      <c r="Q510" s="235"/>
      <c r="R510" s="235"/>
      <c r="S510" s="235"/>
      <c r="T510" s="235"/>
      <c r="U510" s="33"/>
      <c r="V510" s="235"/>
      <c r="W510" s="235"/>
      <c r="X510" s="235"/>
      <c r="Y510" s="235"/>
      <c r="Z510" s="235"/>
      <c r="AA510" s="235"/>
      <c r="AB510" s="235"/>
      <c r="AC510" s="235"/>
      <c r="AD510" s="235"/>
      <c r="AE510" s="235"/>
      <c r="AF510" s="235"/>
      <c r="AG510" s="235"/>
      <c r="AH510" s="235"/>
      <c r="AI510" s="235"/>
      <c r="AJ510" s="235"/>
      <c r="AK510" s="235"/>
      <c r="AL510" s="235"/>
      <c r="AM510" s="235"/>
      <c r="AN510" s="235"/>
      <c r="AO510" s="235"/>
      <c r="AP510" s="235"/>
      <c r="AQ510" s="235"/>
      <c r="AR510" s="235"/>
      <c r="AS510" s="235"/>
      <c r="AT510" s="235"/>
      <c r="AU510" s="235"/>
      <c r="AV510" s="235"/>
      <c r="AW510" s="235"/>
      <c r="AX510" s="235"/>
      <c r="AY510" s="235"/>
      <c r="AZ510" s="235"/>
      <c r="BA510" s="235"/>
      <c r="BB510" s="235"/>
      <c r="BC510" s="235"/>
      <c r="BD510" s="235"/>
      <c r="BE510" s="235"/>
      <c r="BF510" s="235"/>
      <c r="BG510" s="235"/>
      <c r="BH510" s="235"/>
      <c r="BI510" s="219" t="s">
        <v>948</v>
      </c>
      <c r="BJ510" s="219"/>
      <c r="BK510" s="66" t="s">
        <v>415</v>
      </c>
      <c r="BL510" s="238" t="s">
        <v>202</v>
      </c>
      <c r="BM510" s="236" t="s">
        <v>1032</v>
      </c>
    </row>
    <row r="511" spans="1:65" s="252" customFormat="1" x14ac:dyDescent="0.25">
      <c r="A511" s="56" t="s">
        <v>945</v>
      </c>
      <c r="B511" s="163" t="s">
        <v>950</v>
      </c>
      <c r="C511" s="167"/>
      <c r="D511" s="44"/>
      <c r="E511" s="45">
        <f>SUM(F511:G511)</f>
        <v>104.6</v>
      </c>
      <c r="F511" s="160">
        <f>SUM(F512:F513)</f>
        <v>0</v>
      </c>
      <c r="G511" s="160">
        <f>SUM(G512:G513)</f>
        <v>104.6</v>
      </c>
      <c r="H511" s="160">
        <f>SUM(H512:H513)</f>
        <v>3.41</v>
      </c>
      <c r="I511" s="160">
        <f t="shared" ref="I511:BG511" si="154">SUM(I512:I513)</f>
        <v>0.53</v>
      </c>
      <c r="J511" s="160">
        <f t="shared" si="154"/>
        <v>0</v>
      </c>
      <c r="K511" s="160">
        <f t="shared" si="154"/>
        <v>0</v>
      </c>
      <c r="L511" s="160">
        <f t="shared" si="154"/>
        <v>95.86</v>
      </c>
      <c r="M511" s="160">
        <f t="shared" si="154"/>
        <v>0</v>
      </c>
      <c r="N511" s="160">
        <f t="shared" si="154"/>
        <v>0</v>
      </c>
      <c r="O511" s="160">
        <f t="shared" si="154"/>
        <v>0</v>
      </c>
      <c r="P511" s="160">
        <f t="shared" si="154"/>
        <v>0</v>
      </c>
      <c r="Q511" s="160">
        <f t="shared" si="154"/>
        <v>0</v>
      </c>
      <c r="R511" s="160">
        <f t="shared" si="154"/>
        <v>0</v>
      </c>
      <c r="S511" s="160">
        <f t="shared" si="154"/>
        <v>0</v>
      </c>
      <c r="T511" s="160">
        <f t="shared" si="154"/>
        <v>0</v>
      </c>
      <c r="U511" s="169">
        <f t="shared" si="154"/>
        <v>3.87</v>
      </c>
      <c r="V511" s="160">
        <f t="shared" si="154"/>
        <v>3.87</v>
      </c>
      <c r="W511" s="160">
        <f t="shared" si="154"/>
        <v>0</v>
      </c>
      <c r="X511" s="160">
        <f t="shared" si="154"/>
        <v>0</v>
      </c>
      <c r="Y511" s="160">
        <f t="shared" si="154"/>
        <v>0.02</v>
      </c>
      <c r="Z511" s="160">
        <f t="shared" si="154"/>
        <v>0</v>
      </c>
      <c r="AA511" s="160">
        <f t="shared" si="154"/>
        <v>0</v>
      </c>
      <c r="AB511" s="160">
        <f t="shared" si="154"/>
        <v>0</v>
      </c>
      <c r="AC511" s="160">
        <f t="shared" si="154"/>
        <v>0</v>
      </c>
      <c r="AD511" s="160">
        <f t="shared" si="154"/>
        <v>0</v>
      </c>
      <c r="AE511" s="160">
        <f t="shared" si="154"/>
        <v>0</v>
      </c>
      <c r="AF511" s="160">
        <f t="shared" si="154"/>
        <v>0.91</v>
      </c>
      <c r="AG511" s="160">
        <f t="shared" si="154"/>
        <v>0</v>
      </c>
      <c r="AH511" s="160">
        <f t="shared" si="154"/>
        <v>0</v>
      </c>
      <c r="AI511" s="160">
        <f t="shared" si="154"/>
        <v>0</v>
      </c>
      <c r="AJ511" s="160">
        <f t="shared" si="154"/>
        <v>0</v>
      </c>
      <c r="AK511" s="160">
        <f t="shared" si="154"/>
        <v>0</v>
      </c>
      <c r="AL511" s="160">
        <f t="shared" si="154"/>
        <v>0</v>
      </c>
      <c r="AM511" s="160">
        <f t="shared" si="154"/>
        <v>0</v>
      </c>
      <c r="AN511" s="160">
        <f t="shared" si="154"/>
        <v>0</v>
      </c>
      <c r="AO511" s="160">
        <f t="shared" si="154"/>
        <v>0</v>
      </c>
      <c r="AP511" s="160">
        <f t="shared" si="154"/>
        <v>0</v>
      </c>
      <c r="AQ511" s="160">
        <f t="shared" si="154"/>
        <v>0</v>
      </c>
      <c r="AR511" s="160">
        <f t="shared" si="154"/>
        <v>0</v>
      </c>
      <c r="AS511" s="160">
        <f t="shared" si="154"/>
        <v>0</v>
      </c>
      <c r="AT511" s="160">
        <f t="shared" si="154"/>
        <v>0</v>
      </c>
      <c r="AU511" s="160">
        <f t="shared" si="154"/>
        <v>0</v>
      </c>
      <c r="AV511" s="160">
        <f t="shared" si="154"/>
        <v>0</v>
      </c>
      <c r="AW511" s="160">
        <f t="shared" si="154"/>
        <v>0</v>
      </c>
      <c r="AX511" s="160">
        <f t="shared" si="154"/>
        <v>0</v>
      </c>
      <c r="AY511" s="160">
        <f t="shared" si="154"/>
        <v>0</v>
      </c>
      <c r="AZ511" s="160">
        <f t="shared" si="154"/>
        <v>0</v>
      </c>
      <c r="BA511" s="160">
        <f t="shared" si="154"/>
        <v>0</v>
      </c>
      <c r="BB511" s="160">
        <f t="shared" si="154"/>
        <v>0</v>
      </c>
      <c r="BC511" s="160">
        <f t="shared" si="154"/>
        <v>0</v>
      </c>
      <c r="BD511" s="160">
        <f t="shared" si="154"/>
        <v>0</v>
      </c>
      <c r="BE511" s="160">
        <f t="shared" si="154"/>
        <v>0</v>
      </c>
      <c r="BF511" s="160">
        <f t="shared" si="154"/>
        <v>0</v>
      </c>
      <c r="BG511" s="160">
        <f t="shared" si="154"/>
        <v>0</v>
      </c>
      <c r="BH511" s="168"/>
      <c r="BI511" s="167"/>
      <c r="BJ511" s="167"/>
      <c r="BK511" s="227"/>
      <c r="BL511" s="229"/>
      <c r="BM511" s="229"/>
    </row>
    <row r="512" spans="1:65" s="252" customFormat="1" ht="78.75" x14ac:dyDescent="0.25">
      <c r="A512" s="215">
        <f>A510+1</f>
        <v>285</v>
      </c>
      <c r="B512" s="35" t="s">
        <v>951</v>
      </c>
      <c r="C512" s="90" t="s">
        <v>394</v>
      </c>
      <c r="D512" s="243" t="s">
        <v>13</v>
      </c>
      <c r="E512" s="20">
        <f t="shared" ref="E512:E529" si="155">F512+G512</f>
        <v>103.69</v>
      </c>
      <c r="F512" s="28"/>
      <c r="G512" s="28">
        <f>SUM(H512:BG512)-U512-M512</f>
        <v>103.69</v>
      </c>
      <c r="H512" s="33">
        <v>3.41</v>
      </c>
      <c r="I512" s="51">
        <v>0.53</v>
      </c>
      <c r="J512" s="51"/>
      <c r="K512" s="51"/>
      <c r="L512" s="235">
        <v>95.86</v>
      </c>
      <c r="M512" s="235"/>
      <c r="N512" s="33"/>
      <c r="O512" s="33"/>
      <c r="P512" s="33"/>
      <c r="Q512" s="33"/>
      <c r="R512" s="33"/>
      <c r="S512" s="33"/>
      <c r="T512" s="33"/>
      <c r="U512" s="33">
        <f>SUM(V512:X512)</f>
        <v>3.87</v>
      </c>
      <c r="V512" s="49">
        <v>3.87</v>
      </c>
      <c r="W512" s="49"/>
      <c r="X512" s="49"/>
      <c r="Y512" s="49">
        <v>0.02</v>
      </c>
      <c r="Z512" s="49"/>
      <c r="AA512" s="49"/>
      <c r="AB512" s="49"/>
      <c r="AC512" s="49"/>
      <c r="AD512" s="49"/>
      <c r="AE512" s="49"/>
      <c r="AF512" s="49"/>
      <c r="AG512" s="49"/>
      <c r="AH512" s="49"/>
      <c r="AI512" s="49"/>
      <c r="AJ512" s="49"/>
      <c r="AK512" s="49"/>
      <c r="AL512" s="49"/>
      <c r="AM512" s="49"/>
      <c r="AN512" s="49"/>
      <c r="AO512" s="49"/>
      <c r="AP512" s="49"/>
      <c r="AQ512" s="49"/>
      <c r="AR512" s="49"/>
      <c r="AS512" s="49"/>
      <c r="AT512" s="235"/>
      <c r="AU512" s="49"/>
      <c r="AV512" s="49"/>
      <c r="AW512" s="49"/>
      <c r="AX512" s="49"/>
      <c r="AY512" s="49"/>
      <c r="AZ512" s="49"/>
      <c r="BA512" s="49"/>
      <c r="BB512" s="49"/>
      <c r="BC512" s="49"/>
      <c r="BD512" s="49"/>
      <c r="BE512" s="49"/>
      <c r="BF512" s="49"/>
      <c r="BG512" s="49"/>
      <c r="BH512" s="235" t="s">
        <v>269</v>
      </c>
      <c r="BI512" s="90" t="s">
        <v>394</v>
      </c>
      <c r="BJ512" s="226"/>
      <c r="BK512" s="66" t="s">
        <v>120</v>
      </c>
      <c r="BL512" s="238" t="s">
        <v>205</v>
      </c>
      <c r="BM512" s="236" t="s">
        <v>1033</v>
      </c>
    </row>
    <row r="513" spans="1:65" s="252" customFormat="1" ht="94.5" x14ac:dyDescent="0.25">
      <c r="A513" s="133">
        <f>A512+1</f>
        <v>286</v>
      </c>
      <c r="B513" s="35" t="s">
        <v>952</v>
      </c>
      <c r="C513" s="226" t="s">
        <v>79</v>
      </c>
      <c r="D513" s="243" t="s">
        <v>13</v>
      </c>
      <c r="E513" s="20">
        <f t="shared" si="155"/>
        <v>0.91</v>
      </c>
      <c r="F513" s="28"/>
      <c r="G513" s="28">
        <f>SUM(H513:BG513)-U513-M513</f>
        <v>0.91</v>
      </c>
      <c r="H513" s="222">
        <v>0</v>
      </c>
      <c r="I513" s="222">
        <v>0</v>
      </c>
      <c r="J513" s="222">
        <v>0</v>
      </c>
      <c r="K513" s="222">
        <v>0</v>
      </c>
      <c r="L513" s="222">
        <v>0</v>
      </c>
      <c r="M513" s="222">
        <v>0</v>
      </c>
      <c r="N513" s="222">
        <v>0</v>
      </c>
      <c r="O513" s="222">
        <v>0</v>
      </c>
      <c r="P513" s="222">
        <v>0</v>
      </c>
      <c r="Q513" s="222">
        <v>0</v>
      </c>
      <c r="R513" s="222">
        <v>0</v>
      </c>
      <c r="S513" s="222">
        <v>0</v>
      </c>
      <c r="T513" s="222">
        <v>0</v>
      </c>
      <c r="U513" s="222">
        <v>0</v>
      </c>
      <c r="V513" s="222">
        <v>0</v>
      </c>
      <c r="W513" s="222">
        <v>0</v>
      </c>
      <c r="X513" s="222">
        <v>0</v>
      </c>
      <c r="Y513" s="222">
        <v>0</v>
      </c>
      <c r="Z513" s="222">
        <v>0</v>
      </c>
      <c r="AA513" s="222">
        <v>0</v>
      </c>
      <c r="AB513" s="222">
        <v>0</v>
      </c>
      <c r="AC513" s="222">
        <v>0</v>
      </c>
      <c r="AD513" s="222">
        <v>0</v>
      </c>
      <c r="AE513" s="222">
        <v>0</v>
      </c>
      <c r="AF513" s="222">
        <v>0.91</v>
      </c>
      <c r="AG513" s="222">
        <v>0</v>
      </c>
      <c r="AH513" s="222">
        <v>0</v>
      </c>
      <c r="AI513" s="222">
        <v>0</v>
      </c>
      <c r="AJ513" s="222">
        <v>0</v>
      </c>
      <c r="AK513" s="222">
        <v>0</v>
      </c>
      <c r="AL513" s="222">
        <v>0</v>
      </c>
      <c r="AM513" s="222">
        <v>0</v>
      </c>
      <c r="AN513" s="222">
        <v>0</v>
      </c>
      <c r="AO513" s="222">
        <v>0</v>
      </c>
      <c r="AP513" s="222">
        <v>0</v>
      </c>
      <c r="AQ513" s="222">
        <v>0</v>
      </c>
      <c r="AR513" s="222">
        <v>0</v>
      </c>
      <c r="AS513" s="222">
        <v>0</v>
      </c>
      <c r="AT513" s="222">
        <v>0</v>
      </c>
      <c r="AU513" s="222">
        <v>0</v>
      </c>
      <c r="AV513" s="222">
        <v>0</v>
      </c>
      <c r="AW513" s="222">
        <v>0</v>
      </c>
      <c r="AX513" s="222">
        <v>0</v>
      </c>
      <c r="AY513" s="222">
        <v>0</v>
      </c>
      <c r="AZ513" s="222">
        <v>0</v>
      </c>
      <c r="BA513" s="222">
        <v>0</v>
      </c>
      <c r="BB513" s="222">
        <v>0</v>
      </c>
      <c r="BC513" s="222">
        <v>0</v>
      </c>
      <c r="BD513" s="222">
        <v>0</v>
      </c>
      <c r="BE513" s="222">
        <v>0</v>
      </c>
      <c r="BF513" s="222">
        <v>0</v>
      </c>
      <c r="BG513" s="222">
        <v>0</v>
      </c>
      <c r="BH513" s="63" t="s">
        <v>269</v>
      </c>
      <c r="BI513" s="226" t="s">
        <v>79</v>
      </c>
      <c r="BJ513" s="226" t="s">
        <v>953</v>
      </c>
      <c r="BK513" s="66" t="s">
        <v>68</v>
      </c>
      <c r="BL513" s="218" t="s">
        <v>205</v>
      </c>
      <c r="BM513" s="226" t="s">
        <v>206</v>
      </c>
    </row>
    <row r="514" spans="1:65" s="252" customFormat="1" x14ac:dyDescent="0.25">
      <c r="A514" s="56" t="s">
        <v>954</v>
      </c>
      <c r="B514" s="70" t="s">
        <v>955</v>
      </c>
      <c r="C514" s="240"/>
      <c r="D514" s="44"/>
      <c r="E514" s="59">
        <f t="shared" si="155"/>
        <v>1312.38</v>
      </c>
      <c r="F514" s="59">
        <v>0</v>
      </c>
      <c r="G514" s="59">
        <f>SUM(G515:G515)</f>
        <v>1312.38</v>
      </c>
      <c r="H514" s="59">
        <f>SUM(H515:H515)</f>
        <v>0.54</v>
      </c>
      <c r="I514" s="59">
        <f t="shared" ref="I514:BG514" si="156">SUM(I515:I515)</f>
        <v>0.12</v>
      </c>
      <c r="J514" s="59">
        <f t="shared" si="156"/>
        <v>0</v>
      </c>
      <c r="K514" s="59">
        <f t="shared" si="156"/>
        <v>0.72</v>
      </c>
      <c r="L514" s="59">
        <f t="shared" si="156"/>
        <v>0</v>
      </c>
      <c r="M514" s="59">
        <f t="shared" si="156"/>
        <v>19.09</v>
      </c>
      <c r="N514" s="59">
        <f t="shared" si="156"/>
        <v>19.09</v>
      </c>
      <c r="O514" s="59">
        <f t="shared" si="156"/>
        <v>0</v>
      </c>
      <c r="P514" s="59">
        <f t="shared" si="156"/>
        <v>0</v>
      </c>
      <c r="Q514" s="59">
        <f t="shared" si="156"/>
        <v>0</v>
      </c>
      <c r="R514" s="59">
        <f t="shared" si="156"/>
        <v>0</v>
      </c>
      <c r="S514" s="59">
        <f t="shared" si="156"/>
        <v>0</v>
      </c>
      <c r="T514" s="59">
        <f t="shared" si="156"/>
        <v>0</v>
      </c>
      <c r="U514" s="71">
        <f t="shared" si="156"/>
        <v>1291.8</v>
      </c>
      <c r="V514" s="59">
        <f t="shared" si="156"/>
        <v>1291.8</v>
      </c>
      <c r="W514" s="59">
        <f t="shared" si="156"/>
        <v>0</v>
      </c>
      <c r="X514" s="59">
        <f t="shared" si="156"/>
        <v>0</v>
      </c>
      <c r="Y514" s="59">
        <f t="shared" si="156"/>
        <v>0.11</v>
      </c>
      <c r="Z514" s="59">
        <f t="shared" si="156"/>
        <v>0</v>
      </c>
      <c r="AA514" s="59">
        <f t="shared" si="156"/>
        <v>0</v>
      </c>
      <c r="AB514" s="59">
        <f t="shared" si="156"/>
        <v>0</v>
      </c>
      <c r="AC514" s="59">
        <f t="shared" si="156"/>
        <v>0</v>
      </c>
      <c r="AD514" s="59">
        <f t="shared" si="156"/>
        <v>0</v>
      </c>
      <c r="AE514" s="59">
        <f t="shared" si="156"/>
        <v>0</v>
      </c>
      <c r="AF514" s="59">
        <f t="shared" si="156"/>
        <v>0</v>
      </c>
      <c r="AG514" s="59">
        <f t="shared" si="156"/>
        <v>0</v>
      </c>
      <c r="AH514" s="59">
        <f t="shared" si="156"/>
        <v>0</v>
      </c>
      <c r="AI514" s="59">
        <f t="shared" si="156"/>
        <v>0</v>
      </c>
      <c r="AJ514" s="59">
        <f t="shared" si="156"/>
        <v>0</v>
      </c>
      <c r="AK514" s="59">
        <f t="shared" si="156"/>
        <v>0</v>
      </c>
      <c r="AL514" s="59">
        <f t="shared" si="156"/>
        <v>0</v>
      </c>
      <c r="AM514" s="59">
        <f t="shared" si="156"/>
        <v>0</v>
      </c>
      <c r="AN514" s="59">
        <f t="shared" si="156"/>
        <v>0</v>
      </c>
      <c r="AO514" s="59">
        <f t="shared" si="156"/>
        <v>0</v>
      </c>
      <c r="AP514" s="59">
        <f t="shared" si="156"/>
        <v>0</v>
      </c>
      <c r="AQ514" s="59">
        <f t="shared" si="156"/>
        <v>0</v>
      </c>
      <c r="AR514" s="59">
        <f t="shared" si="156"/>
        <v>0</v>
      </c>
      <c r="AS514" s="59">
        <f t="shared" si="156"/>
        <v>0</v>
      </c>
      <c r="AT514" s="59">
        <f t="shared" si="156"/>
        <v>0</v>
      </c>
      <c r="AU514" s="59">
        <f t="shared" si="156"/>
        <v>0</v>
      </c>
      <c r="AV514" s="59">
        <f t="shared" si="156"/>
        <v>0</v>
      </c>
      <c r="AW514" s="59">
        <f t="shared" si="156"/>
        <v>0</v>
      </c>
      <c r="AX514" s="59">
        <f t="shared" si="156"/>
        <v>0</v>
      </c>
      <c r="AY514" s="59">
        <f t="shared" si="156"/>
        <v>0</v>
      </c>
      <c r="AZ514" s="59">
        <f t="shared" si="156"/>
        <v>0</v>
      </c>
      <c r="BA514" s="59">
        <f t="shared" si="156"/>
        <v>0</v>
      </c>
      <c r="BB514" s="59">
        <f t="shared" si="156"/>
        <v>0</v>
      </c>
      <c r="BC514" s="59">
        <f t="shared" si="156"/>
        <v>0</v>
      </c>
      <c r="BD514" s="59">
        <f t="shared" si="156"/>
        <v>0</v>
      </c>
      <c r="BE514" s="59">
        <f t="shared" si="156"/>
        <v>0</v>
      </c>
      <c r="BF514" s="59">
        <f t="shared" si="156"/>
        <v>0</v>
      </c>
      <c r="BG514" s="59">
        <f t="shared" si="156"/>
        <v>0</v>
      </c>
      <c r="BH514" s="238"/>
      <c r="BI514" s="240"/>
      <c r="BJ514" s="240"/>
      <c r="BK514" s="240"/>
      <c r="BL514" s="238"/>
      <c r="BM514" s="238"/>
    </row>
    <row r="515" spans="1:65" s="253" customFormat="1" ht="78.75" x14ac:dyDescent="0.25">
      <c r="A515" s="215">
        <f>A513+1</f>
        <v>287</v>
      </c>
      <c r="B515" s="216" t="s">
        <v>956</v>
      </c>
      <c r="C515" s="90" t="s">
        <v>394</v>
      </c>
      <c r="D515" s="243" t="s">
        <v>14</v>
      </c>
      <c r="E515" s="20">
        <f t="shared" si="155"/>
        <v>1312.38</v>
      </c>
      <c r="F515" s="21"/>
      <c r="G515" s="28">
        <f>SUM(H515:BG515)-U515-M515</f>
        <v>1312.38</v>
      </c>
      <c r="H515" s="235">
        <v>0.54</v>
      </c>
      <c r="I515" s="235">
        <v>0.12</v>
      </c>
      <c r="J515" s="235"/>
      <c r="K515" s="235">
        <v>0.72</v>
      </c>
      <c r="L515" s="235"/>
      <c r="M515" s="235">
        <v>19.09</v>
      </c>
      <c r="N515" s="235">
        <v>19.09</v>
      </c>
      <c r="O515" s="235"/>
      <c r="P515" s="235"/>
      <c r="Q515" s="235"/>
      <c r="R515" s="235"/>
      <c r="S515" s="235"/>
      <c r="T515" s="235"/>
      <c r="U515" s="33">
        <f>SUM(V515:X515)</f>
        <v>1291.8</v>
      </c>
      <c r="V515" s="32">
        <v>1291.8</v>
      </c>
      <c r="W515" s="32"/>
      <c r="X515" s="32"/>
      <c r="Y515" s="235">
        <v>0.11</v>
      </c>
      <c r="Z515" s="235"/>
      <c r="AA515" s="235"/>
      <c r="AB515" s="235"/>
      <c r="AC515" s="235"/>
      <c r="AD515" s="235"/>
      <c r="AE515" s="235"/>
      <c r="AF515" s="235"/>
      <c r="AG515" s="235"/>
      <c r="AH515" s="235"/>
      <c r="AI515" s="235"/>
      <c r="AJ515" s="235"/>
      <c r="AK515" s="235"/>
      <c r="AL515" s="235"/>
      <c r="AM515" s="235"/>
      <c r="AN515" s="235"/>
      <c r="AO515" s="235"/>
      <c r="AP515" s="235"/>
      <c r="AQ515" s="235"/>
      <c r="AR515" s="235"/>
      <c r="AS515" s="235"/>
      <c r="AT515" s="62"/>
      <c r="AU515" s="235"/>
      <c r="AV515" s="49"/>
      <c r="AW515" s="235"/>
      <c r="AX515" s="235"/>
      <c r="AY515" s="235"/>
      <c r="AZ515" s="235"/>
      <c r="BA515" s="235"/>
      <c r="BB515" s="235"/>
      <c r="BC515" s="235"/>
      <c r="BD515" s="235"/>
      <c r="BE515" s="235"/>
      <c r="BF515" s="235"/>
      <c r="BG515" s="235"/>
      <c r="BH515" s="235" t="s">
        <v>957</v>
      </c>
      <c r="BI515" s="90" t="s">
        <v>394</v>
      </c>
      <c r="BJ515" s="226"/>
      <c r="BK515" s="66" t="s">
        <v>120</v>
      </c>
      <c r="BL515" s="238" t="s">
        <v>202</v>
      </c>
      <c r="BM515" s="226" t="s">
        <v>1034</v>
      </c>
    </row>
    <row r="516" spans="1:65" s="252" customFormat="1" x14ac:dyDescent="0.25">
      <c r="A516" s="56" t="s">
        <v>958</v>
      </c>
      <c r="B516" s="70" t="s">
        <v>959</v>
      </c>
      <c r="C516" s="47"/>
      <c r="D516" s="44"/>
      <c r="E516" s="46">
        <f t="shared" si="155"/>
        <v>1.6099999999999999</v>
      </c>
      <c r="F516" s="46"/>
      <c r="G516" s="46">
        <f>SUM(G517:G521)</f>
        <v>1.6099999999999999</v>
      </c>
      <c r="H516" s="46">
        <f>SUM(H517:H521)</f>
        <v>0.9</v>
      </c>
      <c r="I516" s="46">
        <f t="shared" ref="I516:BG516" si="157">SUM(I517:I521)</f>
        <v>0.42000000000000004</v>
      </c>
      <c r="J516" s="46">
        <f t="shared" si="157"/>
        <v>0</v>
      </c>
      <c r="K516" s="46">
        <f t="shared" si="157"/>
        <v>0.22</v>
      </c>
      <c r="L516" s="46">
        <f t="shared" si="157"/>
        <v>7.0000000000000007E-2</v>
      </c>
      <c r="M516" s="46">
        <f t="shared" si="157"/>
        <v>0</v>
      </c>
      <c r="N516" s="46">
        <f t="shared" si="157"/>
        <v>0</v>
      </c>
      <c r="O516" s="46">
        <f t="shared" si="157"/>
        <v>0</v>
      </c>
      <c r="P516" s="46">
        <f t="shared" si="157"/>
        <v>0</v>
      </c>
      <c r="Q516" s="46">
        <f t="shared" si="157"/>
        <v>0</v>
      </c>
      <c r="R516" s="46">
        <f t="shared" si="157"/>
        <v>0</v>
      </c>
      <c r="S516" s="46">
        <f t="shared" si="157"/>
        <v>0</v>
      </c>
      <c r="T516" s="46">
        <f t="shared" si="157"/>
        <v>0</v>
      </c>
      <c r="U516" s="47">
        <f t="shared" si="157"/>
        <v>0</v>
      </c>
      <c r="V516" s="46">
        <f t="shared" si="157"/>
        <v>0</v>
      </c>
      <c r="W516" s="46">
        <f t="shared" si="157"/>
        <v>0</v>
      </c>
      <c r="X516" s="46">
        <f t="shared" si="157"/>
        <v>0</v>
      </c>
      <c r="Y516" s="46">
        <f t="shared" si="157"/>
        <v>0</v>
      </c>
      <c r="Z516" s="46">
        <f t="shared" si="157"/>
        <v>0</v>
      </c>
      <c r="AA516" s="46">
        <f t="shared" si="157"/>
        <v>0</v>
      </c>
      <c r="AB516" s="46">
        <f t="shared" si="157"/>
        <v>0</v>
      </c>
      <c r="AC516" s="46">
        <f t="shared" si="157"/>
        <v>0</v>
      </c>
      <c r="AD516" s="46">
        <f t="shared" si="157"/>
        <v>0</v>
      </c>
      <c r="AE516" s="46">
        <f t="shared" si="157"/>
        <v>0</v>
      </c>
      <c r="AF516" s="46">
        <f t="shared" si="157"/>
        <v>0</v>
      </c>
      <c r="AG516" s="46">
        <f t="shared" si="157"/>
        <v>0</v>
      </c>
      <c r="AH516" s="46">
        <f t="shared" si="157"/>
        <v>0</v>
      </c>
      <c r="AI516" s="46">
        <f t="shared" si="157"/>
        <v>0</v>
      </c>
      <c r="AJ516" s="46">
        <f t="shared" si="157"/>
        <v>0</v>
      </c>
      <c r="AK516" s="46">
        <f t="shared" si="157"/>
        <v>0</v>
      </c>
      <c r="AL516" s="46">
        <f t="shared" si="157"/>
        <v>0</v>
      </c>
      <c r="AM516" s="46">
        <f t="shared" si="157"/>
        <v>0</v>
      </c>
      <c r="AN516" s="46">
        <f t="shared" si="157"/>
        <v>0</v>
      </c>
      <c r="AO516" s="46">
        <f t="shared" si="157"/>
        <v>0</v>
      </c>
      <c r="AP516" s="46">
        <f t="shared" si="157"/>
        <v>0</v>
      </c>
      <c r="AQ516" s="46">
        <f t="shared" si="157"/>
        <v>0</v>
      </c>
      <c r="AR516" s="46">
        <f t="shared" si="157"/>
        <v>0</v>
      </c>
      <c r="AS516" s="46">
        <f t="shared" si="157"/>
        <v>0</v>
      </c>
      <c r="AT516" s="46">
        <f t="shared" si="157"/>
        <v>0</v>
      </c>
      <c r="AU516" s="46">
        <f t="shared" si="157"/>
        <v>0</v>
      </c>
      <c r="AV516" s="46">
        <f t="shared" si="157"/>
        <v>0</v>
      </c>
      <c r="AW516" s="46">
        <f t="shared" si="157"/>
        <v>0</v>
      </c>
      <c r="AX516" s="46">
        <f t="shared" si="157"/>
        <v>0</v>
      </c>
      <c r="AY516" s="46">
        <f t="shared" si="157"/>
        <v>0</v>
      </c>
      <c r="AZ516" s="46">
        <f t="shared" si="157"/>
        <v>0</v>
      </c>
      <c r="BA516" s="46">
        <f t="shared" si="157"/>
        <v>0</v>
      </c>
      <c r="BB516" s="46">
        <f t="shared" si="157"/>
        <v>0</v>
      </c>
      <c r="BC516" s="46">
        <f t="shared" si="157"/>
        <v>0</v>
      </c>
      <c r="BD516" s="46">
        <f t="shared" si="157"/>
        <v>0</v>
      </c>
      <c r="BE516" s="46">
        <f t="shared" si="157"/>
        <v>0</v>
      </c>
      <c r="BF516" s="46">
        <f t="shared" si="157"/>
        <v>0</v>
      </c>
      <c r="BG516" s="46">
        <f t="shared" si="157"/>
        <v>0</v>
      </c>
      <c r="BH516" s="47"/>
      <c r="BI516" s="47"/>
      <c r="BJ516" s="47"/>
      <c r="BK516" s="71"/>
      <c r="BL516" s="47"/>
      <c r="BM516" s="47"/>
    </row>
    <row r="517" spans="1:65" s="253" customFormat="1" ht="63" customHeight="1" x14ac:dyDescent="0.25">
      <c r="A517" s="407">
        <f>A515+1</f>
        <v>288</v>
      </c>
      <c r="B517" s="444" t="s">
        <v>960</v>
      </c>
      <c r="C517" s="226" t="s">
        <v>79</v>
      </c>
      <c r="D517" s="243" t="s">
        <v>27</v>
      </c>
      <c r="E517" s="20">
        <f t="shared" si="155"/>
        <v>0.39</v>
      </c>
      <c r="F517" s="21"/>
      <c r="G517" s="28">
        <f>SUM(H517:M517,Q517,U517,Y517:BG517)</f>
        <v>0.39</v>
      </c>
      <c r="H517" s="238">
        <v>0.39</v>
      </c>
      <c r="I517" s="238"/>
      <c r="J517" s="238"/>
      <c r="K517" s="238"/>
      <c r="L517" s="238"/>
      <c r="M517" s="238"/>
      <c r="N517" s="238"/>
      <c r="O517" s="238"/>
      <c r="P517" s="238"/>
      <c r="Q517" s="238"/>
      <c r="R517" s="238"/>
      <c r="S517" s="238"/>
      <c r="T517" s="238"/>
      <c r="U517" s="238"/>
      <c r="V517" s="238"/>
      <c r="W517" s="238"/>
      <c r="X517" s="238"/>
      <c r="Y517" s="238"/>
      <c r="Z517" s="238"/>
      <c r="AA517" s="238"/>
      <c r="AB517" s="238"/>
      <c r="AC517" s="238"/>
      <c r="AD517" s="238"/>
      <c r="AE517" s="238"/>
      <c r="AF517" s="238"/>
      <c r="AG517" s="238"/>
      <c r="AH517" s="238"/>
      <c r="AI517" s="238"/>
      <c r="AJ517" s="238"/>
      <c r="AK517" s="238"/>
      <c r="AL517" s="238"/>
      <c r="AM517" s="238"/>
      <c r="AN517" s="238"/>
      <c r="AO517" s="238"/>
      <c r="AP517" s="238"/>
      <c r="AQ517" s="238"/>
      <c r="AR517" s="238"/>
      <c r="AS517" s="238"/>
      <c r="AT517" s="238"/>
      <c r="AU517" s="238"/>
      <c r="AV517" s="238"/>
      <c r="AW517" s="238"/>
      <c r="AX517" s="238"/>
      <c r="AY517" s="238"/>
      <c r="AZ517" s="238"/>
      <c r="BA517" s="238"/>
      <c r="BB517" s="238"/>
      <c r="BC517" s="238"/>
      <c r="BD517" s="238"/>
      <c r="BE517" s="238"/>
      <c r="BF517" s="238"/>
      <c r="BG517" s="238"/>
      <c r="BH517" s="63" t="s">
        <v>269</v>
      </c>
      <c r="BI517" s="226" t="s">
        <v>79</v>
      </c>
      <c r="BJ517" s="226" t="s">
        <v>961</v>
      </c>
      <c r="BK517" s="66" t="s">
        <v>120</v>
      </c>
      <c r="BL517" s="238" t="s">
        <v>202</v>
      </c>
      <c r="BM517" s="226" t="s">
        <v>1026</v>
      </c>
    </row>
    <row r="518" spans="1:65" s="253" customFormat="1" ht="31.5" x14ac:dyDescent="0.25">
      <c r="A518" s="407"/>
      <c r="B518" s="444"/>
      <c r="C518" s="232" t="s">
        <v>122</v>
      </c>
      <c r="D518" s="243" t="s">
        <v>27</v>
      </c>
      <c r="E518" s="20">
        <f t="shared" si="155"/>
        <v>9.0000000000000011E-2</v>
      </c>
      <c r="F518" s="21"/>
      <c r="G518" s="28">
        <f>SUM(H518:M518,Q518,U518,Y518:BG518)</f>
        <v>9.0000000000000011E-2</v>
      </c>
      <c r="H518" s="238"/>
      <c r="I518" s="238">
        <v>0.02</v>
      </c>
      <c r="J518" s="238"/>
      <c r="K518" s="238"/>
      <c r="L518" s="238">
        <v>7.0000000000000007E-2</v>
      </c>
      <c r="M518" s="238"/>
      <c r="N518" s="238"/>
      <c r="O518" s="238"/>
      <c r="P518" s="238"/>
      <c r="Q518" s="238"/>
      <c r="R518" s="238"/>
      <c r="S518" s="238"/>
      <c r="T518" s="238"/>
      <c r="U518" s="238"/>
      <c r="V518" s="238"/>
      <c r="W518" s="238"/>
      <c r="X518" s="238"/>
      <c r="Y518" s="238"/>
      <c r="Z518" s="238"/>
      <c r="AA518" s="238"/>
      <c r="AB518" s="238"/>
      <c r="AC518" s="238"/>
      <c r="AD518" s="238"/>
      <c r="AE518" s="238"/>
      <c r="AF518" s="238"/>
      <c r="AG518" s="238"/>
      <c r="AH518" s="238"/>
      <c r="AI518" s="238"/>
      <c r="AJ518" s="238"/>
      <c r="AK518" s="238"/>
      <c r="AL518" s="238"/>
      <c r="AM518" s="238"/>
      <c r="AN518" s="238"/>
      <c r="AO518" s="238"/>
      <c r="AP518" s="238"/>
      <c r="AQ518" s="238"/>
      <c r="AR518" s="238"/>
      <c r="AS518" s="238"/>
      <c r="AT518" s="238"/>
      <c r="AU518" s="238"/>
      <c r="AV518" s="238"/>
      <c r="AW518" s="238"/>
      <c r="AX518" s="238"/>
      <c r="AY518" s="238"/>
      <c r="AZ518" s="238"/>
      <c r="BA518" s="238"/>
      <c r="BB518" s="238"/>
      <c r="BC518" s="238"/>
      <c r="BD518" s="238"/>
      <c r="BE518" s="238"/>
      <c r="BF518" s="238"/>
      <c r="BG518" s="238"/>
      <c r="BH518" s="235" t="s">
        <v>962</v>
      </c>
      <c r="BI518" s="232" t="s">
        <v>122</v>
      </c>
      <c r="BJ518" s="226" t="s">
        <v>963</v>
      </c>
      <c r="BK518" s="66" t="s">
        <v>120</v>
      </c>
      <c r="BL518" s="238" t="s">
        <v>202</v>
      </c>
      <c r="BM518" s="218" t="s">
        <v>206</v>
      </c>
    </row>
    <row r="519" spans="1:65" s="253" customFormat="1" ht="31.5" x14ac:dyDescent="0.25">
      <c r="A519" s="407"/>
      <c r="B519" s="444"/>
      <c r="C519" s="226" t="s">
        <v>150</v>
      </c>
      <c r="D519" s="243" t="s">
        <v>27</v>
      </c>
      <c r="E519" s="20">
        <f t="shared" si="155"/>
        <v>0.17</v>
      </c>
      <c r="F519" s="21"/>
      <c r="G519" s="28">
        <f>SUM(H519:M519,Q519,U519,Y519:BG519)</f>
        <v>0.17</v>
      </c>
      <c r="H519" s="238">
        <v>0.17</v>
      </c>
      <c r="I519" s="238"/>
      <c r="J519" s="238">
        <v>0</v>
      </c>
      <c r="K519" s="238"/>
      <c r="L519" s="238">
        <v>0</v>
      </c>
      <c r="M519" s="238">
        <v>0</v>
      </c>
      <c r="N519" s="238">
        <v>0</v>
      </c>
      <c r="O519" s="238">
        <v>0</v>
      </c>
      <c r="P519" s="238">
        <v>0</v>
      </c>
      <c r="Q519" s="238">
        <v>0</v>
      </c>
      <c r="R519" s="238">
        <v>0</v>
      </c>
      <c r="S519" s="238">
        <v>0</v>
      </c>
      <c r="T519" s="238">
        <v>0</v>
      </c>
      <c r="U519" s="238">
        <v>0</v>
      </c>
      <c r="V519" s="238">
        <v>0</v>
      </c>
      <c r="W519" s="238">
        <v>0</v>
      </c>
      <c r="X519" s="238">
        <v>0</v>
      </c>
      <c r="Y519" s="238">
        <v>0</v>
      </c>
      <c r="Z519" s="238">
        <v>0</v>
      </c>
      <c r="AA519" s="238">
        <v>0</v>
      </c>
      <c r="AB519" s="238">
        <v>0</v>
      </c>
      <c r="AC519" s="238">
        <v>0</v>
      </c>
      <c r="AD519" s="238">
        <v>0</v>
      </c>
      <c r="AE519" s="238">
        <v>0</v>
      </c>
      <c r="AF519" s="238">
        <v>0</v>
      </c>
      <c r="AG519" s="238">
        <v>0</v>
      </c>
      <c r="AH519" s="238">
        <v>0</v>
      </c>
      <c r="AI519" s="238">
        <v>0</v>
      </c>
      <c r="AJ519" s="238">
        <v>0</v>
      </c>
      <c r="AK519" s="238">
        <v>0</v>
      </c>
      <c r="AL519" s="238">
        <v>0</v>
      </c>
      <c r="AM519" s="238">
        <v>0</v>
      </c>
      <c r="AN519" s="238">
        <v>0</v>
      </c>
      <c r="AO519" s="238">
        <v>0</v>
      </c>
      <c r="AP519" s="238">
        <v>0</v>
      </c>
      <c r="AQ519" s="238">
        <v>0</v>
      </c>
      <c r="AR519" s="238">
        <v>0</v>
      </c>
      <c r="AS519" s="238">
        <v>0</v>
      </c>
      <c r="AT519" s="238">
        <v>0</v>
      </c>
      <c r="AU519" s="238">
        <v>0</v>
      </c>
      <c r="AV519" s="238">
        <v>0</v>
      </c>
      <c r="AW519" s="238">
        <v>0</v>
      </c>
      <c r="AX519" s="238">
        <v>0</v>
      </c>
      <c r="AY519" s="238">
        <v>0</v>
      </c>
      <c r="AZ519" s="238">
        <v>0</v>
      </c>
      <c r="BA519" s="238">
        <v>0</v>
      </c>
      <c r="BB519" s="238">
        <v>0</v>
      </c>
      <c r="BC519" s="238">
        <v>0</v>
      </c>
      <c r="BD519" s="238">
        <v>0</v>
      </c>
      <c r="BE519" s="238">
        <v>0</v>
      </c>
      <c r="BF519" s="238">
        <v>0</v>
      </c>
      <c r="BG519" s="238">
        <v>0</v>
      </c>
      <c r="BH519" s="63" t="s">
        <v>732</v>
      </c>
      <c r="BI519" s="226" t="s">
        <v>150</v>
      </c>
      <c r="BJ519" s="68" t="s">
        <v>964</v>
      </c>
      <c r="BK519" s="241" t="s">
        <v>1061</v>
      </c>
      <c r="BL519" s="238" t="s">
        <v>202</v>
      </c>
      <c r="BM519" s="226" t="s">
        <v>1026</v>
      </c>
    </row>
    <row r="520" spans="1:65" s="253" customFormat="1" ht="63" x14ac:dyDescent="0.25">
      <c r="A520" s="407"/>
      <c r="B520" s="444"/>
      <c r="C520" s="90" t="s">
        <v>99</v>
      </c>
      <c r="D520" s="243" t="s">
        <v>27</v>
      </c>
      <c r="E520" s="20">
        <f t="shared" si="155"/>
        <v>0.38</v>
      </c>
      <c r="F520" s="21"/>
      <c r="G520" s="28">
        <f>SUM(H520:M520,Q520,U520,Y520:BG520)</f>
        <v>0.38</v>
      </c>
      <c r="H520" s="222">
        <v>0.13</v>
      </c>
      <c r="I520" s="222">
        <f>0.14</f>
        <v>0.14000000000000001</v>
      </c>
      <c r="J520" s="222"/>
      <c r="K520" s="222">
        <v>0.11</v>
      </c>
      <c r="L520" s="222"/>
      <c r="M520" s="222"/>
      <c r="N520" s="222"/>
      <c r="O520" s="222"/>
      <c r="P520" s="222"/>
      <c r="Q520" s="222"/>
      <c r="R520" s="222"/>
      <c r="S520" s="222"/>
      <c r="T520" s="222"/>
      <c r="U520" s="222"/>
      <c r="V520" s="222"/>
      <c r="W520" s="222"/>
      <c r="X520" s="222"/>
      <c r="Y520" s="54"/>
      <c r="Z520" s="222"/>
      <c r="AA520" s="222"/>
      <c r="AB520" s="222"/>
      <c r="AC520" s="222"/>
      <c r="AD520" s="222"/>
      <c r="AE520" s="222"/>
      <c r="AF520" s="222"/>
      <c r="AG520" s="222"/>
      <c r="AH520" s="222"/>
      <c r="AI520" s="222"/>
      <c r="AJ520" s="222"/>
      <c r="AK520" s="222"/>
      <c r="AL520" s="222"/>
      <c r="AM520" s="222"/>
      <c r="AN520" s="222"/>
      <c r="AO520" s="222"/>
      <c r="AP520" s="222"/>
      <c r="AQ520" s="222"/>
      <c r="AR520" s="222"/>
      <c r="AS520" s="222"/>
      <c r="AT520" s="222"/>
      <c r="AU520" s="222"/>
      <c r="AV520" s="222"/>
      <c r="AW520" s="222"/>
      <c r="AX520" s="222"/>
      <c r="AY520" s="222"/>
      <c r="AZ520" s="222"/>
      <c r="BA520" s="222"/>
      <c r="BB520" s="222"/>
      <c r="BC520" s="222"/>
      <c r="BD520" s="222"/>
      <c r="BE520" s="222"/>
      <c r="BF520" s="222"/>
      <c r="BG520" s="222"/>
      <c r="BH520" s="63" t="s">
        <v>269</v>
      </c>
      <c r="BI520" s="90" t="s">
        <v>99</v>
      </c>
      <c r="BJ520" s="68" t="s">
        <v>965</v>
      </c>
      <c r="BK520" s="66" t="s">
        <v>120</v>
      </c>
      <c r="BL520" s="238" t="s">
        <v>202</v>
      </c>
      <c r="BM520" s="90" t="s">
        <v>206</v>
      </c>
    </row>
    <row r="521" spans="1:65" s="253" customFormat="1" ht="78.75" x14ac:dyDescent="0.25">
      <c r="A521" s="407"/>
      <c r="B521" s="444"/>
      <c r="C521" s="226" t="s">
        <v>106</v>
      </c>
      <c r="D521" s="243" t="s">
        <v>27</v>
      </c>
      <c r="E521" s="20">
        <f t="shared" si="155"/>
        <v>0.57999999999999996</v>
      </c>
      <c r="F521" s="21"/>
      <c r="G521" s="28">
        <f>SUM(H521:M521,Q521,U521,Y521:BG521)</f>
        <v>0.57999999999999996</v>
      </c>
      <c r="H521" s="222">
        <v>0.21</v>
      </c>
      <c r="I521" s="222">
        <v>0.26</v>
      </c>
      <c r="J521" s="222"/>
      <c r="K521" s="222">
        <v>0.11</v>
      </c>
      <c r="L521" s="222"/>
      <c r="M521" s="222"/>
      <c r="N521" s="222"/>
      <c r="O521" s="222"/>
      <c r="P521" s="222"/>
      <c r="Q521" s="222"/>
      <c r="R521" s="222"/>
      <c r="S521" s="222"/>
      <c r="T521" s="222"/>
      <c r="U521" s="222"/>
      <c r="V521" s="222"/>
      <c r="W521" s="222"/>
      <c r="X521" s="222"/>
      <c r="Y521" s="222"/>
      <c r="Z521" s="222"/>
      <c r="AA521" s="222"/>
      <c r="AB521" s="222"/>
      <c r="AC521" s="222"/>
      <c r="AD521" s="222"/>
      <c r="AE521" s="222"/>
      <c r="AF521" s="222"/>
      <c r="AG521" s="222"/>
      <c r="AH521" s="222"/>
      <c r="AI521" s="222"/>
      <c r="AJ521" s="222"/>
      <c r="AK521" s="222"/>
      <c r="AL521" s="222"/>
      <c r="AM521" s="222"/>
      <c r="AN521" s="222"/>
      <c r="AO521" s="222"/>
      <c r="AP521" s="222"/>
      <c r="AQ521" s="222"/>
      <c r="AR521" s="222"/>
      <c r="AS521" s="222"/>
      <c r="AT521" s="222"/>
      <c r="AU521" s="222"/>
      <c r="AV521" s="222"/>
      <c r="AW521" s="222"/>
      <c r="AX521" s="222"/>
      <c r="AY521" s="222"/>
      <c r="AZ521" s="222"/>
      <c r="BA521" s="222"/>
      <c r="BB521" s="222"/>
      <c r="BC521" s="222"/>
      <c r="BD521" s="222"/>
      <c r="BE521" s="222"/>
      <c r="BF521" s="222"/>
      <c r="BG521" s="222"/>
      <c r="BH521" s="63" t="s">
        <v>1025</v>
      </c>
      <c r="BI521" s="226" t="s">
        <v>106</v>
      </c>
      <c r="BJ521" s="243" t="s">
        <v>966</v>
      </c>
      <c r="BK521" s="66" t="s">
        <v>120</v>
      </c>
      <c r="BL521" s="238" t="s">
        <v>202</v>
      </c>
      <c r="BM521" s="226" t="s">
        <v>1026</v>
      </c>
    </row>
    <row r="522" spans="1:65" s="252" customFormat="1" x14ac:dyDescent="0.25">
      <c r="A522" s="56" t="s">
        <v>967</v>
      </c>
      <c r="B522" s="70" t="s">
        <v>968</v>
      </c>
      <c r="C522" s="47"/>
      <c r="D522" s="44" t="s">
        <v>28</v>
      </c>
      <c r="E522" s="46">
        <f t="shared" si="155"/>
        <v>91.38000000000001</v>
      </c>
      <c r="F522" s="46">
        <f>SUM(F523:F537)</f>
        <v>0</v>
      </c>
      <c r="G522" s="46">
        <f>SUM(G523:G537)</f>
        <v>91.38000000000001</v>
      </c>
      <c r="H522" s="46">
        <f>SUM(H523:H537)</f>
        <v>1.5100000000000002</v>
      </c>
      <c r="I522" s="46">
        <f t="shared" ref="I522:BG522" si="158">SUM(I523:I537)</f>
        <v>1.03</v>
      </c>
      <c r="J522" s="46">
        <f t="shared" si="158"/>
        <v>0</v>
      </c>
      <c r="K522" s="46">
        <f t="shared" si="158"/>
        <v>3.54</v>
      </c>
      <c r="L522" s="46">
        <f t="shared" si="158"/>
        <v>0.41000000000000003</v>
      </c>
      <c r="M522" s="46">
        <f t="shared" si="158"/>
        <v>2.92</v>
      </c>
      <c r="N522" s="46">
        <f t="shared" si="158"/>
        <v>0</v>
      </c>
      <c r="O522" s="46">
        <f t="shared" si="158"/>
        <v>0</v>
      </c>
      <c r="P522" s="46">
        <f t="shared" si="158"/>
        <v>0</v>
      </c>
      <c r="Q522" s="46">
        <f t="shared" si="158"/>
        <v>0</v>
      </c>
      <c r="R522" s="46">
        <f t="shared" si="158"/>
        <v>0</v>
      </c>
      <c r="S522" s="46">
        <f t="shared" si="158"/>
        <v>0</v>
      </c>
      <c r="T522" s="46">
        <f t="shared" si="158"/>
        <v>0</v>
      </c>
      <c r="U522" s="47">
        <f t="shared" si="158"/>
        <v>81.28</v>
      </c>
      <c r="V522" s="46">
        <f t="shared" si="158"/>
        <v>64.05</v>
      </c>
      <c r="W522" s="46">
        <f t="shared" si="158"/>
        <v>10.669999999999998</v>
      </c>
      <c r="X522" s="46">
        <f t="shared" si="158"/>
        <v>6.5600000000000005</v>
      </c>
      <c r="Y522" s="46">
        <f t="shared" si="158"/>
        <v>0.48</v>
      </c>
      <c r="Z522" s="46">
        <f t="shared" si="158"/>
        <v>0</v>
      </c>
      <c r="AA522" s="46">
        <f t="shared" si="158"/>
        <v>0</v>
      </c>
      <c r="AB522" s="46">
        <f t="shared" si="158"/>
        <v>0</v>
      </c>
      <c r="AC522" s="46">
        <f t="shared" si="158"/>
        <v>0</v>
      </c>
      <c r="AD522" s="46">
        <f t="shared" si="158"/>
        <v>0</v>
      </c>
      <c r="AE522" s="46">
        <f t="shared" si="158"/>
        <v>0</v>
      </c>
      <c r="AF522" s="46">
        <f t="shared" si="158"/>
        <v>0.04</v>
      </c>
      <c r="AG522" s="46">
        <f t="shared" si="158"/>
        <v>0</v>
      </c>
      <c r="AH522" s="46">
        <f t="shared" si="158"/>
        <v>0</v>
      </c>
      <c r="AI522" s="46">
        <f t="shared" si="158"/>
        <v>0</v>
      </c>
      <c r="AJ522" s="46">
        <f t="shared" si="158"/>
        <v>0</v>
      </c>
      <c r="AK522" s="46">
        <f t="shared" si="158"/>
        <v>0</v>
      </c>
      <c r="AL522" s="46">
        <f t="shared" si="158"/>
        <v>0</v>
      </c>
      <c r="AM522" s="46">
        <f t="shared" si="158"/>
        <v>0</v>
      </c>
      <c r="AN522" s="46">
        <f t="shared" si="158"/>
        <v>0</v>
      </c>
      <c r="AO522" s="46">
        <f t="shared" si="158"/>
        <v>0</v>
      </c>
      <c r="AP522" s="46">
        <f t="shared" si="158"/>
        <v>0</v>
      </c>
      <c r="AQ522" s="46">
        <f t="shared" si="158"/>
        <v>0</v>
      </c>
      <c r="AR522" s="46">
        <f t="shared" si="158"/>
        <v>0</v>
      </c>
      <c r="AS522" s="46">
        <f t="shared" si="158"/>
        <v>0</v>
      </c>
      <c r="AT522" s="46">
        <f t="shared" si="158"/>
        <v>0</v>
      </c>
      <c r="AU522" s="46">
        <f t="shared" si="158"/>
        <v>0</v>
      </c>
      <c r="AV522" s="46">
        <f t="shared" si="158"/>
        <v>0</v>
      </c>
      <c r="AW522" s="46">
        <f t="shared" si="158"/>
        <v>0</v>
      </c>
      <c r="AX522" s="46">
        <f t="shared" si="158"/>
        <v>0</v>
      </c>
      <c r="AY522" s="46">
        <f t="shared" si="158"/>
        <v>0</v>
      </c>
      <c r="AZ522" s="46">
        <f t="shared" si="158"/>
        <v>0</v>
      </c>
      <c r="BA522" s="46">
        <f t="shared" si="158"/>
        <v>0</v>
      </c>
      <c r="BB522" s="46">
        <f t="shared" si="158"/>
        <v>0</v>
      </c>
      <c r="BC522" s="46">
        <f t="shared" si="158"/>
        <v>0</v>
      </c>
      <c r="BD522" s="46">
        <f t="shared" si="158"/>
        <v>0</v>
      </c>
      <c r="BE522" s="46">
        <f t="shared" si="158"/>
        <v>0</v>
      </c>
      <c r="BF522" s="46">
        <f t="shared" si="158"/>
        <v>0</v>
      </c>
      <c r="BG522" s="46">
        <f t="shared" si="158"/>
        <v>0.17</v>
      </c>
      <c r="BH522" s="47"/>
      <c r="BI522" s="47"/>
      <c r="BJ522" s="47"/>
      <c r="BK522" s="71"/>
      <c r="BL522" s="47"/>
      <c r="BM522" s="47"/>
    </row>
    <row r="523" spans="1:65" s="253" customFormat="1" ht="31.5" x14ac:dyDescent="0.25">
      <c r="A523" s="215">
        <f>A517+1</f>
        <v>289</v>
      </c>
      <c r="B523" s="237" t="s">
        <v>969</v>
      </c>
      <c r="C523" s="226" t="s">
        <v>79</v>
      </c>
      <c r="D523" s="243" t="s">
        <v>28</v>
      </c>
      <c r="E523" s="20">
        <f t="shared" si="155"/>
        <v>32.68</v>
      </c>
      <c r="F523" s="21"/>
      <c r="G523" s="28">
        <f>SUM(H523:M523,Q523,U523,Y523:BG523)</f>
        <v>32.68</v>
      </c>
      <c r="H523" s="235"/>
      <c r="I523" s="235"/>
      <c r="J523" s="235"/>
      <c r="K523" s="235"/>
      <c r="L523" s="235"/>
      <c r="M523" s="235"/>
      <c r="N523" s="235"/>
      <c r="O523" s="235"/>
      <c r="P523" s="235"/>
      <c r="Q523" s="33"/>
      <c r="R523" s="235"/>
      <c r="S523" s="235"/>
      <c r="T523" s="235"/>
      <c r="U523" s="222">
        <f>SUM(V523:X523)</f>
        <v>32.68</v>
      </c>
      <c r="V523" s="235">
        <v>32.68</v>
      </c>
      <c r="W523" s="235"/>
      <c r="X523" s="235"/>
      <c r="Y523" s="235"/>
      <c r="Z523" s="235"/>
      <c r="AA523" s="235"/>
      <c r="AB523" s="235"/>
      <c r="AC523" s="235"/>
      <c r="AD523" s="235"/>
      <c r="AE523" s="235"/>
      <c r="AF523" s="235"/>
      <c r="AG523" s="235"/>
      <c r="AH523" s="235"/>
      <c r="AI523" s="235"/>
      <c r="AJ523" s="235"/>
      <c r="AK523" s="235"/>
      <c r="AL523" s="235"/>
      <c r="AM523" s="235"/>
      <c r="AN523" s="235"/>
      <c r="AO523" s="235"/>
      <c r="AP523" s="235"/>
      <c r="AQ523" s="235"/>
      <c r="AR523" s="235"/>
      <c r="AS523" s="235"/>
      <c r="AT523" s="235"/>
      <c r="AU523" s="235"/>
      <c r="AV523" s="235"/>
      <c r="AW523" s="235"/>
      <c r="AX523" s="235"/>
      <c r="AY523" s="235"/>
      <c r="AZ523" s="235"/>
      <c r="BA523" s="235"/>
      <c r="BB523" s="235"/>
      <c r="BC523" s="235"/>
      <c r="BD523" s="235"/>
      <c r="BE523" s="235"/>
      <c r="BF523" s="235"/>
      <c r="BG523" s="235"/>
      <c r="BH523" s="235" t="s">
        <v>72</v>
      </c>
      <c r="BI523" s="226" t="s">
        <v>79</v>
      </c>
      <c r="BJ523" s="226" t="s">
        <v>970</v>
      </c>
      <c r="BK523" s="66" t="s">
        <v>120</v>
      </c>
      <c r="BL523" s="218" t="s">
        <v>971</v>
      </c>
      <c r="BM523" s="218" t="s">
        <v>1026</v>
      </c>
    </row>
    <row r="524" spans="1:65" s="334" customFormat="1" x14ac:dyDescent="0.25">
      <c r="A524" s="407">
        <f>A523+1</f>
        <v>290</v>
      </c>
      <c r="B524" s="461" t="s">
        <v>1110</v>
      </c>
      <c r="C524" s="364" t="s">
        <v>71</v>
      </c>
      <c r="D524" s="362" t="s">
        <v>28</v>
      </c>
      <c r="E524" s="265">
        <f t="shared" si="155"/>
        <v>1.5</v>
      </c>
      <c r="F524" s="266"/>
      <c r="G524" s="267">
        <f t="shared" ref="G524:G537" si="159">SUM(H524:M524,Q524,U524,Y524:BG524)</f>
        <v>1.5</v>
      </c>
      <c r="H524" s="287"/>
      <c r="I524" s="287"/>
      <c r="J524" s="287"/>
      <c r="K524" s="287"/>
      <c r="L524" s="287"/>
      <c r="M524" s="287"/>
      <c r="N524" s="287"/>
      <c r="O524" s="287"/>
      <c r="P524" s="287"/>
      <c r="Q524" s="287"/>
      <c r="R524" s="287"/>
      <c r="S524" s="287"/>
      <c r="T524" s="287"/>
      <c r="U524" s="287">
        <f t="shared" ref="U524:U537" si="160">SUM(V524:X524)</f>
        <v>1.5</v>
      </c>
      <c r="V524" s="287">
        <v>1.5</v>
      </c>
      <c r="W524" s="287"/>
      <c r="X524" s="287"/>
      <c r="Y524" s="287"/>
      <c r="Z524" s="287"/>
      <c r="AA524" s="287"/>
      <c r="AB524" s="287"/>
      <c r="AC524" s="287"/>
      <c r="AD524" s="287"/>
      <c r="AE524" s="287"/>
      <c r="AF524" s="287"/>
      <c r="AG524" s="287"/>
      <c r="AH524" s="287"/>
      <c r="AI524" s="287"/>
      <c r="AJ524" s="287"/>
      <c r="AK524" s="287"/>
      <c r="AL524" s="287"/>
      <c r="AM524" s="287"/>
      <c r="AN524" s="287"/>
      <c r="AO524" s="287"/>
      <c r="AP524" s="287"/>
      <c r="AQ524" s="287"/>
      <c r="AR524" s="287"/>
      <c r="AS524" s="287"/>
      <c r="AT524" s="287"/>
      <c r="AU524" s="287"/>
      <c r="AV524" s="287"/>
      <c r="AW524" s="287"/>
      <c r="AX524" s="287"/>
      <c r="AY524" s="287"/>
      <c r="AZ524" s="287"/>
      <c r="BA524" s="287"/>
      <c r="BB524" s="287"/>
      <c r="BC524" s="287"/>
      <c r="BD524" s="287"/>
      <c r="BE524" s="287"/>
      <c r="BF524" s="287"/>
      <c r="BG524" s="287"/>
      <c r="BH524" s="364" t="s">
        <v>72</v>
      </c>
      <c r="BI524" s="364" t="s">
        <v>71</v>
      </c>
      <c r="BJ524" s="364" t="s">
        <v>972</v>
      </c>
      <c r="BK524" s="376" t="s">
        <v>120</v>
      </c>
      <c r="BL524" s="361" t="s">
        <v>202</v>
      </c>
      <c r="BM524" s="363" t="s">
        <v>206</v>
      </c>
    </row>
    <row r="525" spans="1:65" s="252" customFormat="1" ht="31.5" x14ac:dyDescent="0.25">
      <c r="A525" s="407"/>
      <c r="B525" s="461"/>
      <c r="C525" s="232" t="s">
        <v>82</v>
      </c>
      <c r="D525" s="243" t="s">
        <v>28</v>
      </c>
      <c r="E525" s="20">
        <f t="shared" si="155"/>
        <v>7.0000000000000007E-2</v>
      </c>
      <c r="F525" s="21"/>
      <c r="G525" s="28">
        <f t="shared" si="159"/>
        <v>7.0000000000000007E-2</v>
      </c>
      <c r="H525" s="238"/>
      <c r="I525" s="238">
        <v>7.0000000000000007E-2</v>
      </c>
      <c r="J525" s="238"/>
      <c r="K525" s="238"/>
      <c r="L525" s="238"/>
      <c r="M525" s="238"/>
      <c r="N525" s="238"/>
      <c r="O525" s="238"/>
      <c r="P525" s="238"/>
      <c r="Q525" s="238"/>
      <c r="R525" s="238"/>
      <c r="S525" s="238"/>
      <c r="T525" s="238"/>
      <c r="U525" s="222">
        <f t="shared" si="160"/>
        <v>0</v>
      </c>
      <c r="V525" s="238"/>
      <c r="W525" s="238"/>
      <c r="X525" s="238"/>
      <c r="Y525" s="238"/>
      <c r="Z525" s="238"/>
      <c r="AA525" s="238"/>
      <c r="AB525" s="238"/>
      <c r="AC525" s="238"/>
      <c r="AD525" s="238"/>
      <c r="AE525" s="238"/>
      <c r="AF525" s="238"/>
      <c r="AG525" s="238"/>
      <c r="AH525" s="238"/>
      <c r="AI525" s="238"/>
      <c r="AJ525" s="238"/>
      <c r="AK525" s="238"/>
      <c r="AL525" s="238"/>
      <c r="AM525" s="238"/>
      <c r="AN525" s="238"/>
      <c r="AO525" s="238"/>
      <c r="AP525" s="238"/>
      <c r="AQ525" s="238"/>
      <c r="AR525" s="238"/>
      <c r="AS525" s="238"/>
      <c r="AT525" s="238"/>
      <c r="AU525" s="238"/>
      <c r="AV525" s="238"/>
      <c r="AW525" s="238"/>
      <c r="AX525" s="238"/>
      <c r="AY525" s="238"/>
      <c r="AZ525" s="238"/>
      <c r="BA525" s="238"/>
      <c r="BB525" s="238"/>
      <c r="BC525" s="238"/>
      <c r="BD525" s="238"/>
      <c r="BE525" s="238"/>
      <c r="BF525" s="238"/>
      <c r="BG525" s="238"/>
      <c r="BH525" s="232" t="s">
        <v>973</v>
      </c>
      <c r="BI525" s="232" t="s">
        <v>82</v>
      </c>
      <c r="BJ525" s="226" t="s">
        <v>974</v>
      </c>
      <c r="BK525" s="66" t="s">
        <v>120</v>
      </c>
      <c r="BL525" s="238" t="s">
        <v>202</v>
      </c>
      <c r="BM525" s="226" t="s">
        <v>206</v>
      </c>
    </row>
    <row r="526" spans="1:65" s="252" customFormat="1" x14ac:dyDescent="0.25">
      <c r="A526" s="407"/>
      <c r="B526" s="461"/>
      <c r="C526" s="232" t="s">
        <v>87</v>
      </c>
      <c r="D526" s="243" t="s">
        <v>28</v>
      </c>
      <c r="E526" s="20">
        <f t="shared" si="155"/>
        <v>0.1</v>
      </c>
      <c r="F526" s="21"/>
      <c r="G526" s="28">
        <f t="shared" si="159"/>
        <v>0.1</v>
      </c>
      <c r="H526" s="235"/>
      <c r="I526" s="235"/>
      <c r="J526" s="235"/>
      <c r="K526" s="235"/>
      <c r="L526" s="235"/>
      <c r="M526" s="235"/>
      <c r="N526" s="235"/>
      <c r="O526" s="235"/>
      <c r="P526" s="235"/>
      <c r="Q526" s="33"/>
      <c r="R526" s="235"/>
      <c r="S526" s="235"/>
      <c r="T526" s="235"/>
      <c r="U526" s="222">
        <f t="shared" si="160"/>
        <v>0.1</v>
      </c>
      <c r="V526" s="235"/>
      <c r="W526" s="62">
        <v>0.1</v>
      </c>
      <c r="X526" s="235"/>
      <c r="Y526" s="235"/>
      <c r="Z526" s="235"/>
      <c r="AA526" s="235"/>
      <c r="AB526" s="235"/>
      <c r="AC526" s="235"/>
      <c r="AD526" s="235"/>
      <c r="AE526" s="235"/>
      <c r="AF526" s="235"/>
      <c r="AG526" s="235"/>
      <c r="AH526" s="235"/>
      <c r="AI526" s="235"/>
      <c r="AJ526" s="235"/>
      <c r="AK526" s="235"/>
      <c r="AL526" s="235"/>
      <c r="AM526" s="235"/>
      <c r="AN526" s="235"/>
      <c r="AO526" s="235"/>
      <c r="AP526" s="235"/>
      <c r="AQ526" s="235"/>
      <c r="AR526" s="235"/>
      <c r="AS526" s="235"/>
      <c r="AT526" s="235"/>
      <c r="AU526" s="235"/>
      <c r="AV526" s="235"/>
      <c r="AW526" s="235"/>
      <c r="AX526" s="235"/>
      <c r="AY526" s="235"/>
      <c r="AZ526" s="235"/>
      <c r="BA526" s="235"/>
      <c r="BB526" s="235"/>
      <c r="BC526" s="235"/>
      <c r="BD526" s="235"/>
      <c r="BE526" s="235"/>
      <c r="BF526" s="235"/>
      <c r="BG526" s="235"/>
      <c r="BH526" s="63" t="s">
        <v>550</v>
      </c>
      <c r="BI526" s="232" t="s">
        <v>87</v>
      </c>
      <c r="BJ526" s="226" t="s">
        <v>975</v>
      </c>
      <c r="BK526" s="66" t="s">
        <v>120</v>
      </c>
      <c r="BL526" s="238" t="s">
        <v>202</v>
      </c>
      <c r="BM526" s="226" t="s">
        <v>206</v>
      </c>
    </row>
    <row r="527" spans="1:65" s="252" customFormat="1" ht="114.75" customHeight="1" x14ac:dyDescent="0.25">
      <c r="A527" s="407"/>
      <c r="B527" s="461"/>
      <c r="C527" s="232" t="s">
        <v>122</v>
      </c>
      <c r="D527" s="243" t="s">
        <v>28</v>
      </c>
      <c r="E527" s="20">
        <f t="shared" si="155"/>
        <v>1.4100000000000001</v>
      </c>
      <c r="F527" s="21"/>
      <c r="G527" s="28">
        <f t="shared" si="159"/>
        <v>1.4100000000000001</v>
      </c>
      <c r="H527" s="222">
        <v>0.04</v>
      </c>
      <c r="I527" s="222">
        <v>0</v>
      </c>
      <c r="J527" s="222">
        <v>0</v>
      </c>
      <c r="K527" s="222">
        <v>1.24</v>
      </c>
      <c r="L527" s="222">
        <v>0.13</v>
      </c>
      <c r="M527" s="222">
        <v>0</v>
      </c>
      <c r="N527" s="222">
        <v>0</v>
      </c>
      <c r="O527" s="222">
        <v>0</v>
      </c>
      <c r="P527" s="222">
        <v>0</v>
      </c>
      <c r="Q527" s="222">
        <v>0</v>
      </c>
      <c r="R527" s="222">
        <v>0</v>
      </c>
      <c r="S527" s="222">
        <v>0</v>
      </c>
      <c r="T527" s="222">
        <v>0</v>
      </c>
      <c r="U527" s="222">
        <f t="shared" si="160"/>
        <v>0</v>
      </c>
      <c r="V527" s="222">
        <v>0</v>
      </c>
      <c r="W527" s="222">
        <v>0</v>
      </c>
      <c r="X527" s="222">
        <v>0</v>
      </c>
      <c r="Y527" s="222">
        <v>0</v>
      </c>
      <c r="Z527" s="222">
        <v>0</v>
      </c>
      <c r="AA527" s="222">
        <v>0</v>
      </c>
      <c r="AB527" s="222">
        <v>0</v>
      </c>
      <c r="AC527" s="222">
        <v>0</v>
      </c>
      <c r="AD527" s="222">
        <v>0</v>
      </c>
      <c r="AE527" s="222">
        <v>0</v>
      </c>
      <c r="AF527" s="222">
        <v>0</v>
      </c>
      <c r="AG527" s="222">
        <v>0</v>
      </c>
      <c r="AH527" s="222">
        <v>0</v>
      </c>
      <c r="AI527" s="222">
        <v>0</v>
      </c>
      <c r="AJ527" s="222">
        <v>0</v>
      </c>
      <c r="AK527" s="222">
        <v>0</v>
      </c>
      <c r="AL527" s="222">
        <v>0</v>
      </c>
      <c r="AM527" s="222">
        <v>0</v>
      </c>
      <c r="AN527" s="222">
        <v>0</v>
      </c>
      <c r="AO527" s="222">
        <v>0</v>
      </c>
      <c r="AP527" s="222">
        <v>0</v>
      </c>
      <c r="AQ527" s="222">
        <v>0</v>
      </c>
      <c r="AR527" s="222">
        <v>0</v>
      </c>
      <c r="AS527" s="222">
        <v>0</v>
      </c>
      <c r="AT527" s="222">
        <v>0</v>
      </c>
      <c r="AU527" s="222">
        <v>0</v>
      </c>
      <c r="AV527" s="222">
        <v>0</v>
      </c>
      <c r="AW527" s="222">
        <v>0</v>
      </c>
      <c r="AX527" s="222">
        <v>0</v>
      </c>
      <c r="AY527" s="222">
        <v>0</v>
      </c>
      <c r="AZ527" s="222">
        <v>0</v>
      </c>
      <c r="BA527" s="222">
        <v>0</v>
      </c>
      <c r="BB527" s="222">
        <v>0</v>
      </c>
      <c r="BC527" s="222">
        <v>0</v>
      </c>
      <c r="BD527" s="222">
        <v>0</v>
      </c>
      <c r="BE527" s="222">
        <v>0</v>
      </c>
      <c r="BF527" s="222">
        <v>0</v>
      </c>
      <c r="BG527" s="222">
        <v>0</v>
      </c>
      <c r="BH527" s="232" t="s">
        <v>976</v>
      </c>
      <c r="BI527" s="232" t="s">
        <v>122</v>
      </c>
      <c r="BJ527" s="232" t="s">
        <v>977</v>
      </c>
      <c r="BK527" s="66" t="s">
        <v>120</v>
      </c>
      <c r="BL527" s="238" t="s">
        <v>202</v>
      </c>
      <c r="BM527" s="226" t="s">
        <v>1035</v>
      </c>
    </row>
    <row r="528" spans="1:65" s="252" customFormat="1" ht="194.25" customHeight="1" x14ac:dyDescent="0.25">
      <c r="A528" s="407">
        <f>A524</f>
        <v>290</v>
      </c>
      <c r="B528" s="408" t="s">
        <v>1110</v>
      </c>
      <c r="C528" s="90" t="s">
        <v>122</v>
      </c>
      <c r="D528" s="243" t="s">
        <v>28</v>
      </c>
      <c r="E528" s="20">
        <f t="shared" si="155"/>
        <v>7.7</v>
      </c>
      <c r="F528" s="21"/>
      <c r="G528" s="28">
        <f t="shared" si="159"/>
        <v>7.7</v>
      </c>
      <c r="H528" s="222">
        <v>0.18</v>
      </c>
      <c r="I528" s="222">
        <v>0.3</v>
      </c>
      <c r="J528" s="222">
        <v>0</v>
      </c>
      <c r="K528" s="222">
        <v>1.6900000000000002</v>
      </c>
      <c r="L528" s="222">
        <v>0</v>
      </c>
      <c r="M528" s="222">
        <v>0</v>
      </c>
      <c r="N528" s="222">
        <v>0</v>
      </c>
      <c r="O528" s="222">
        <v>0</v>
      </c>
      <c r="P528" s="222">
        <v>0</v>
      </c>
      <c r="Q528" s="222">
        <v>0</v>
      </c>
      <c r="R528" s="222">
        <v>0</v>
      </c>
      <c r="S528" s="222">
        <v>0</v>
      </c>
      <c r="T528" s="222">
        <v>0</v>
      </c>
      <c r="U528" s="222">
        <f t="shared" si="160"/>
        <v>5.08</v>
      </c>
      <c r="V528" s="222">
        <v>0</v>
      </c>
      <c r="W528" s="222">
        <v>5.08</v>
      </c>
      <c r="X528" s="222">
        <v>0</v>
      </c>
      <c r="Y528" s="222">
        <v>0.45</v>
      </c>
      <c r="Z528" s="222">
        <v>0</v>
      </c>
      <c r="AA528" s="222">
        <v>0</v>
      </c>
      <c r="AB528" s="222">
        <v>0</v>
      </c>
      <c r="AC528" s="222">
        <v>0</v>
      </c>
      <c r="AD528" s="222">
        <v>0</v>
      </c>
      <c r="AE528" s="222">
        <v>0</v>
      </c>
      <c r="AF528" s="222">
        <v>0</v>
      </c>
      <c r="AG528" s="222">
        <v>0</v>
      </c>
      <c r="AH528" s="222">
        <v>0</v>
      </c>
      <c r="AI528" s="222">
        <v>0</v>
      </c>
      <c r="AJ528" s="222">
        <v>0</v>
      </c>
      <c r="AK528" s="222">
        <v>0</v>
      </c>
      <c r="AL528" s="222">
        <v>0</v>
      </c>
      <c r="AM528" s="222">
        <v>0</v>
      </c>
      <c r="AN528" s="222">
        <v>0</v>
      </c>
      <c r="AO528" s="222">
        <v>0</v>
      </c>
      <c r="AP528" s="222">
        <v>0</v>
      </c>
      <c r="AQ528" s="222">
        <v>0</v>
      </c>
      <c r="AR528" s="222">
        <v>0</v>
      </c>
      <c r="AS528" s="222">
        <v>0</v>
      </c>
      <c r="AT528" s="222">
        <v>0</v>
      </c>
      <c r="AU528" s="222">
        <v>0</v>
      </c>
      <c r="AV528" s="222">
        <v>0</v>
      </c>
      <c r="AW528" s="222">
        <v>0</v>
      </c>
      <c r="AX528" s="222">
        <v>0</v>
      </c>
      <c r="AY528" s="222">
        <v>0</v>
      </c>
      <c r="AZ528" s="222">
        <v>0</v>
      </c>
      <c r="BA528" s="222">
        <v>0</v>
      </c>
      <c r="BB528" s="222">
        <v>0</v>
      </c>
      <c r="BC528" s="222">
        <v>0</v>
      </c>
      <c r="BD528" s="222">
        <v>0</v>
      </c>
      <c r="BE528" s="222">
        <v>0</v>
      </c>
      <c r="BF528" s="222">
        <v>0</v>
      </c>
      <c r="BG528" s="222">
        <v>0</v>
      </c>
      <c r="BH528" s="235" t="s">
        <v>978</v>
      </c>
      <c r="BI528" s="90" t="s">
        <v>122</v>
      </c>
      <c r="BJ528" s="218" t="s">
        <v>979</v>
      </c>
      <c r="BK528" s="214" t="s">
        <v>120</v>
      </c>
      <c r="BL528" s="238" t="s">
        <v>202</v>
      </c>
      <c r="BM528" s="218" t="s">
        <v>206</v>
      </c>
    </row>
    <row r="529" spans="1:65" s="252" customFormat="1" ht="31.5" x14ac:dyDescent="0.25">
      <c r="A529" s="407"/>
      <c r="B529" s="408"/>
      <c r="C529" s="226" t="s">
        <v>142</v>
      </c>
      <c r="D529" s="243" t="s">
        <v>28</v>
      </c>
      <c r="E529" s="20">
        <f t="shared" si="155"/>
        <v>14.999999999999998</v>
      </c>
      <c r="F529" s="21"/>
      <c r="G529" s="28">
        <f t="shared" si="159"/>
        <v>14.999999999999998</v>
      </c>
      <c r="H529" s="238">
        <v>0.79</v>
      </c>
      <c r="I529" s="238"/>
      <c r="J529" s="238"/>
      <c r="K529" s="238">
        <v>0.08</v>
      </c>
      <c r="L529" s="238">
        <v>0.14000000000000001</v>
      </c>
      <c r="M529" s="238"/>
      <c r="N529" s="238"/>
      <c r="O529" s="238"/>
      <c r="P529" s="238"/>
      <c r="Q529" s="238"/>
      <c r="R529" s="238">
        <v>0</v>
      </c>
      <c r="S529" s="238">
        <v>0</v>
      </c>
      <c r="T529" s="238">
        <v>0</v>
      </c>
      <c r="U529" s="222">
        <f>SUM(V529:X529)</f>
        <v>13.85</v>
      </c>
      <c r="V529" s="238">
        <v>13.85</v>
      </c>
      <c r="W529" s="238"/>
      <c r="X529" s="238"/>
      <c r="Y529" s="238"/>
      <c r="Z529" s="238"/>
      <c r="AA529" s="238"/>
      <c r="AB529" s="238"/>
      <c r="AC529" s="238"/>
      <c r="AD529" s="238"/>
      <c r="AE529" s="238"/>
      <c r="AF529" s="238">
        <v>0.04</v>
      </c>
      <c r="AG529" s="238"/>
      <c r="AH529" s="238"/>
      <c r="AI529" s="238"/>
      <c r="AJ529" s="238"/>
      <c r="AK529" s="238"/>
      <c r="AL529" s="238"/>
      <c r="AM529" s="238"/>
      <c r="AN529" s="238"/>
      <c r="AO529" s="238"/>
      <c r="AP529" s="238"/>
      <c r="AQ529" s="238"/>
      <c r="AR529" s="238"/>
      <c r="AS529" s="238"/>
      <c r="AT529" s="238"/>
      <c r="AU529" s="238"/>
      <c r="AV529" s="238"/>
      <c r="AW529" s="238"/>
      <c r="AX529" s="238"/>
      <c r="AY529" s="238"/>
      <c r="AZ529" s="238"/>
      <c r="BA529" s="238"/>
      <c r="BB529" s="238"/>
      <c r="BC529" s="238"/>
      <c r="BD529" s="238"/>
      <c r="BE529" s="238"/>
      <c r="BF529" s="238"/>
      <c r="BG529" s="238">
        <v>0.1</v>
      </c>
      <c r="BH529" s="232" t="s">
        <v>296</v>
      </c>
      <c r="BI529" s="226" t="s">
        <v>142</v>
      </c>
      <c r="BJ529" s="232" t="s">
        <v>980</v>
      </c>
      <c r="BK529" s="66" t="s">
        <v>398</v>
      </c>
      <c r="BL529" s="238" t="s">
        <v>202</v>
      </c>
      <c r="BM529" s="226" t="s">
        <v>1026</v>
      </c>
    </row>
    <row r="530" spans="1:65" s="252" customFormat="1" ht="31.5" x14ac:dyDescent="0.25">
      <c r="A530" s="407"/>
      <c r="B530" s="408"/>
      <c r="C530" s="226" t="s">
        <v>142</v>
      </c>
      <c r="D530" s="243" t="s">
        <v>28</v>
      </c>
      <c r="E530" s="20">
        <f>F530+G530</f>
        <v>0.41000000000000003</v>
      </c>
      <c r="F530" s="21"/>
      <c r="G530" s="28">
        <f t="shared" si="159"/>
        <v>0.41000000000000003</v>
      </c>
      <c r="H530" s="30">
        <v>0.05</v>
      </c>
      <c r="I530" s="30"/>
      <c r="J530" s="30"/>
      <c r="K530" s="30">
        <v>0.12</v>
      </c>
      <c r="L530" s="30">
        <v>0.14000000000000001</v>
      </c>
      <c r="M530" s="30"/>
      <c r="N530" s="30"/>
      <c r="O530" s="30"/>
      <c r="P530" s="30"/>
      <c r="Q530" s="30"/>
      <c r="R530" s="30"/>
      <c r="S530" s="30"/>
      <c r="T530" s="30"/>
      <c r="U530" s="222">
        <f t="shared" si="160"/>
        <v>0.1</v>
      </c>
      <c r="V530" s="30"/>
      <c r="W530" s="30">
        <v>0.1</v>
      </c>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232" t="s">
        <v>981</v>
      </c>
      <c r="BI530" s="226" t="s">
        <v>142</v>
      </c>
      <c r="BJ530" s="232" t="s">
        <v>982</v>
      </c>
      <c r="BK530" s="66" t="s">
        <v>398</v>
      </c>
      <c r="BL530" s="238" t="s">
        <v>202</v>
      </c>
      <c r="BM530" s="226" t="s">
        <v>206</v>
      </c>
    </row>
    <row r="531" spans="1:65" s="252" customFormat="1" ht="31.5" x14ac:dyDescent="0.25">
      <c r="A531" s="407"/>
      <c r="B531" s="408"/>
      <c r="C531" s="226" t="s">
        <v>150</v>
      </c>
      <c r="D531" s="243" t="s">
        <v>28</v>
      </c>
      <c r="E531" s="20">
        <f t="shared" ref="E531:E537" si="161">F531+G531</f>
        <v>5</v>
      </c>
      <c r="F531" s="21"/>
      <c r="G531" s="28">
        <f t="shared" si="159"/>
        <v>5</v>
      </c>
      <c r="H531" s="238">
        <v>0.37</v>
      </c>
      <c r="I531" s="238">
        <v>0.08</v>
      </c>
      <c r="J531" s="238"/>
      <c r="K531" s="238">
        <v>0.09</v>
      </c>
      <c r="L531" s="238"/>
      <c r="M531" s="238"/>
      <c r="N531" s="238"/>
      <c r="O531" s="238"/>
      <c r="P531" s="238"/>
      <c r="Q531" s="238"/>
      <c r="R531" s="238"/>
      <c r="S531" s="238"/>
      <c r="T531" s="238"/>
      <c r="U531" s="222">
        <f t="shared" si="160"/>
        <v>4.3899999999999997</v>
      </c>
      <c r="V531" s="238"/>
      <c r="W531" s="238">
        <v>4.3899999999999997</v>
      </c>
      <c r="X531" s="238"/>
      <c r="Y531" s="238"/>
      <c r="Z531" s="238"/>
      <c r="AA531" s="238"/>
      <c r="AB531" s="238"/>
      <c r="AC531" s="238"/>
      <c r="AD531" s="238"/>
      <c r="AE531" s="238"/>
      <c r="AF531" s="238"/>
      <c r="AG531" s="238"/>
      <c r="AH531" s="238"/>
      <c r="AI531" s="238"/>
      <c r="AJ531" s="238"/>
      <c r="AK531" s="238"/>
      <c r="AL531" s="238"/>
      <c r="AM531" s="238"/>
      <c r="AN531" s="238"/>
      <c r="AO531" s="238"/>
      <c r="AP531" s="238"/>
      <c r="AQ531" s="238"/>
      <c r="AR531" s="238"/>
      <c r="AS531" s="238"/>
      <c r="AT531" s="238"/>
      <c r="AU531" s="238"/>
      <c r="AV531" s="238"/>
      <c r="AW531" s="238"/>
      <c r="AX531" s="238"/>
      <c r="AY531" s="238"/>
      <c r="AZ531" s="238"/>
      <c r="BA531" s="238"/>
      <c r="BB531" s="238"/>
      <c r="BC531" s="238"/>
      <c r="BD531" s="238"/>
      <c r="BE531" s="238"/>
      <c r="BF531" s="238"/>
      <c r="BG531" s="238">
        <v>7.0000000000000007E-2</v>
      </c>
      <c r="BH531" s="235" t="s">
        <v>983</v>
      </c>
      <c r="BI531" s="226" t="s">
        <v>150</v>
      </c>
      <c r="BJ531" s="68" t="s">
        <v>984</v>
      </c>
      <c r="BK531" s="66" t="s">
        <v>120</v>
      </c>
      <c r="BL531" s="238" t="s">
        <v>202</v>
      </c>
      <c r="BM531" s="218" t="s">
        <v>1026</v>
      </c>
    </row>
    <row r="532" spans="1:65" s="252" customFormat="1" ht="31.5" x14ac:dyDescent="0.25">
      <c r="A532" s="407"/>
      <c r="B532" s="408"/>
      <c r="C532" s="218" t="s">
        <v>154</v>
      </c>
      <c r="D532" s="243" t="s">
        <v>28</v>
      </c>
      <c r="E532" s="20">
        <f t="shared" si="161"/>
        <v>2</v>
      </c>
      <c r="F532" s="21"/>
      <c r="G532" s="28">
        <f t="shared" si="159"/>
        <v>2</v>
      </c>
      <c r="H532" s="28"/>
      <c r="I532" s="28"/>
      <c r="J532" s="28"/>
      <c r="K532" s="28"/>
      <c r="L532" s="28"/>
      <c r="M532" s="30"/>
      <c r="N532" s="30"/>
      <c r="O532" s="30"/>
      <c r="P532" s="30"/>
      <c r="Q532" s="30"/>
      <c r="R532" s="30"/>
      <c r="S532" s="30"/>
      <c r="T532" s="30"/>
      <c r="U532" s="222">
        <f t="shared" si="160"/>
        <v>2</v>
      </c>
      <c r="V532" s="30">
        <v>1</v>
      </c>
      <c r="W532" s="30">
        <v>1</v>
      </c>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90" t="s">
        <v>985</v>
      </c>
      <c r="BI532" s="218" t="s">
        <v>154</v>
      </c>
      <c r="BJ532" s="226" t="s">
        <v>986</v>
      </c>
      <c r="BK532" s="66" t="s">
        <v>120</v>
      </c>
      <c r="BL532" s="238" t="s">
        <v>202</v>
      </c>
      <c r="BM532" s="226" t="s">
        <v>1026</v>
      </c>
    </row>
    <row r="533" spans="1:65" s="252" customFormat="1" ht="47.25" x14ac:dyDescent="0.25">
      <c r="A533" s="407"/>
      <c r="B533" s="408"/>
      <c r="C533" s="223" t="s">
        <v>106</v>
      </c>
      <c r="D533" s="243" t="s">
        <v>28</v>
      </c>
      <c r="E533" s="20">
        <f t="shared" si="161"/>
        <v>5</v>
      </c>
      <c r="F533" s="21"/>
      <c r="G533" s="28">
        <f t="shared" si="159"/>
        <v>5</v>
      </c>
      <c r="H533" s="222"/>
      <c r="I533" s="222">
        <v>0.57999999999999996</v>
      </c>
      <c r="J533" s="222"/>
      <c r="K533" s="222">
        <v>0.28999999999999998</v>
      </c>
      <c r="L533" s="222"/>
      <c r="M533" s="222"/>
      <c r="N533" s="222"/>
      <c r="O533" s="222"/>
      <c r="P533" s="222"/>
      <c r="Q533" s="222"/>
      <c r="R533" s="222"/>
      <c r="S533" s="222"/>
      <c r="T533" s="222"/>
      <c r="U533" s="222">
        <f t="shared" si="160"/>
        <v>4.13</v>
      </c>
      <c r="V533" s="222"/>
      <c r="W533" s="222"/>
      <c r="X533" s="222">
        <v>4.13</v>
      </c>
      <c r="Y533" s="222"/>
      <c r="Z533" s="222"/>
      <c r="AA533" s="222"/>
      <c r="AB533" s="222"/>
      <c r="AC533" s="222"/>
      <c r="AD533" s="222"/>
      <c r="AE533" s="222"/>
      <c r="AF533" s="222"/>
      <c r="AG533" s="222"/>
      <c r="AH533" s="222"/>
      <c r="AI533" s="222"/>
      <c r="AJ533" s="222"/>
      <c r="AK533" s="222"/>
      <c r="AL533" s="222"/>
      <c r="AM533" s="222"/>
      <c r="AN533" s="222"/>
      <c r="AO533" s="222"/>
      <c r="AP533" s="222"/>
      <c r="AQ533" s="222"/>
      <c r="AR533" s="222"/>
      <c r="AS533" s="222"/>
      <c r="AT533" s="222"/>
      <c r="AU533" s="222"/>
      <c r="AV533" s="222"/>
      <c r="AW533" s="222"/>
      <c r="AX533" s="222"/>
      <c r="AY533" s="222"/>
      <c r="AZ533" s="222"/>
      <c r="BA533" s="222"/>
      <c r="BB533" s="222"/>
      <c r="BC533" s="222"/>
      <c r="BD533" s="222"/>
      <c r="BE533" s="222"/>
      <c r="BF533" s="222"/>
      <c r="BG533" s="222"/>
      <c r="BH533" s="232" t="s">
        <v>107</v>
      </c>
      <c r="BI533" s="223" t="s">
        <v>106</v>
      </c>
      <c r="BJ533" s="232" t="s">
        <v>987</v>
      </c>
      <c r="BK533" s="66" t="s">
        <v>120</v>
      </c>
      <c r="BL533" s="238" t="s">
        <v>202</v>
      </c>
      <c r="BM533" s="218" t="s">
        <v>1026</v>
      </c>
    </row>
    <row r="534" spans="1:65" s="252" customFormat="1" ht="31.5" x14ac:dyDescent="0.25">
      <c r="A534" s="407"/>
      <c r="B534" s="408"/>
      <c r="C534" s="226" t="s">
        <v>138</v>
      </c>
      <c r="D534" s="243" t="s">
        <v>28</v>
      </c>
      <c r="E534" s="20">
        <f t="shared" si="161"/>
        <v>7.4499999999999993</v>
      </c>
      <c r="F534" s="21"/>
      <c r="G534" s="28">
        <f t="shared" si="159"/>
        <v>7.4499999999999993</v>
      </c>
      <c r="H534" s="222">
        <v>0</v>
      </c>
      <c r="I534" s="222">
        <v>0</v>
      </c>
      <c r="J534" s="222">
        <v>0</v>
      </c>
      <c r="K534" s="222">
        <v>0</v>
      </c>
      <c r="L534" s="222">
        <v>0</v>
      </c>
      <c r="M534" s="222">
        <v>0</v>
      </c>
      <c r="N534" s="222">
        <v>0</v>
      </c>
      <c r="O534" s="222">
        <v>0</v>
      </c>
      <c r="P534" s="222">
        <v>0</v>
      </c>
      <c r="Q534" s="222">
        <v>0</v>
      </c>
      <c r="R534" s="222">
        <v>0</v>
      </c>
      <c r="S534" s="222">
        <v>0</v>
      </c>
      <c r="T534" s="222">
        <v>0</v>
      </c>
      <c r="U534" s="222">
        <f t="shared" si="160"/>
        <v>7.4499999999999993</v>
      </c>
      <c r="V534" s="222">
        <v>5.0199999999999996</v>
      </c>
      <c r="W534" s="222">
        <v>0</v>
      </c>
      <c r="X534" s="222">
        <v>2.4300000000000002</v>
      </c>
      <c r="Y534" s="222">
        <v>0</v>
      </c>
      <c r="Z534" s="222">
        <v>0</v>
      </c>
      <c r="AA534" s="222">
        <v>0</v>
      </c>
      <c r="AB534" s="222">
        <v>0</v>
      </c>
      <c r="AC534" s="222">
        <v>0</v>
      </c>
      <c r="AD534" s="222">
        <v>0</v>
      </c>
      <c r="AE534" s="222">
        <v>0</v>
      </c>
      <c r="AF534" s="222">
        <v>0</v>
      </c>
      <c r="AG534" s="222">
        <v>0</v>
      </c>
      <c r="AH534" s="222">
        <v>0</v>
      </c>
      <c r="AI534" s="222">
        <v>0</v>
      </c>
      <c r="AJ534" s="222">
        <v>0</v>
      </c>
      <c r="AK534" s="222">
        <v>0</v>
      </c>
      <c r="AL534" s="222">
        <v>0</v>
      </c>
      <c r="AM534" s="222">
        <v>0</v>
      </c>
      <c r="AN534" s="222">
        <v>0</v>
      </c>
      <c r="AO534" s="222">
        <v>0</v>
      </c>
      <c r="AP534" s="222">
        <v>0</v>
      </c>
      <c r="AQ534" s="222">
        <v>0</v>
      </c>
      <c r="AR534" s="222">
        <v>0</v>
      </c>
      <c r="AS534" s="222">
        <v>0</v>
      </c>
      <c r="AT534" s="222">
        <v>0</v>
      </c>
      <c r="AU534" s="222">
        <v>0</v>
      </c>
      <c r="AV534" s="222">
        <v>0</v>
      </c>
      <c r="AW534" s="222">
        <v>0</v>
      </c>
      <c r="AX534" s="222">
        <v>0</v>
      </c>
      <c r="AY534" s="222">
        <v>0</v>
      </c>
      <c r="AZ534" s="222">
        <v>0</v>
      </c>
      <c r="BA534" s="222">
        <v>0</v>
      </c>
      <c r="BB534" s="222">
        <v>0</v>
      </c>
      <c r="BC534" s="222">
        <v>0</v>
      </c>
      <c r="BD534" s="222">
        <v>0</v>
      </c>
      <c r="BE534" s="222">
        <v>0</v>
      </c>
      <c r="BF534" s="222">
        <v>0</v>
      </c>
      <c r="BG534" s="222">
        <v>0</v>
      </c>
      <c r="BH534" s="235" t="s">
        <v>258</v>
      </c>
      <c r="BI534" s="226" t="s">
        <v>138</v>
      </c>
      <c r="BJ534" s="226" t="s">
        <v>988</v>
      </c>
      <c r="BK534" s="66" t="s">
        <v>398</v>
      </c>
      <c r="BL534" s="238" t="s">
        <v>202</v>
      </c>
      <c r="BM534" s="226" t="s">
        <v>206</v>
      </c>
    </row>
    <row r="535" spans="1:65" s="252" customFormat="1" ht="31.5" x14ac:dyDescent="0.25">
      <c r="A535" s="407"/>
      <c r="B535" s="408"/>
      <c r="C535" s="232" t="s">
        <v>166</v>
      </c>
      <c r="D535" s="243" t="s">
        <v>28</v>
      </c>
      <c r="E535" s="20">
        <f t="shared" si="161"/>
        <v>3</v>
      </c>
      <c r="F535" s="21"/>
      <c r="G535" s="28">
        <f t="shared" si="159"/>
        <v>3</v>
      </c>
      <c r="H535" s="222">
        <v>0.08</v>
      </c>
      <c r="I535" s="222"/>
      <c r="J535" s="222"/>
      <c r="K535" s="222"/>
      <c r="L535" s="222"/>
      <c r="M535" s="222">
        <v>2.92</v>
      </c>
      <c r="N535" s="222">
        <v>0</v>
      </c>
      <c r="O535" s="222">
        <v>0</v>
      </c>
      <c r="P535" s="222">
        <v>0</v>
      </c>
      <c r="Q535" s="222">
        <v>0</v>
      </c>
      <c r="R535" s="222">
        <v>0</v>
      </c>
      <c r="S535" s="222">
        <v>0</v>
      </c>
      <c r="T535" s="222">
        <v>0</v>
      </c>
      <c r="U535" s="222">
        <f t="shared" si="160"/>
        <v>0</v>
      </c>
      <c r="V535" s="222"/>
      <c r="W535" s="222"/>
      <c r="X535" s="222"/>
      <c r="Y535" s="222"/>
      <c r="Z535" s="222"/>
      <c r="AA535" s="222"/>
      <c r="AB535" s="222"/>
      <c r="AC535" s="222"/>
      <c r="AD535" s="222"/>
      <c r="AE535" s="222"/>
      <c r="AF535" s="222"/>
      <c r="AG535" s="222"/>
      <c r="AH535" s="222"/>
      <c r="AI535" s="222"/>
      <c r="AJ535" s="222"/>
      <c r="AK535" s="222"/>
      <c r="AL535" s="222"/>
      <c r="AM535" s="222"/>
      <c r="AN535" s="222"/>
      <c r="AO535" s="222"/>
      <c r="AP535" s="222"/>
      <c r="AQ535" s="222"/>
      <c r="AR535" s="222"/>
      <c r="AS535" s="222"/>
      <c r="AT535" s="222"/>
      <c r="AU535" s="222"/>
      <c r="AV535" s="222"/>
      <c r="AW535" s="222"/>
      <c r="AX535" s="222"/>
      <c r="AY535" s="222"/>
      <c r="AZ535" s="222"/>
      <c r="BA535" s="222"/>
      <c r="BB535" s="222"/>
      <c r="BC535" s="222"/>
      <c r="BD535" s="222"/>
      <c r="BE535" s="222"/>
      <c r="BF535" s="222"/>
      <c r="BG535" s="222"/>
      <c r="BH535" s="232" t="s">
        <v>989</v>
      </c>
      <c r="BI535" s="232" t="s">
        <v>166</v>
      </c>
      <c r="BJ535" s="232" t="s">
        <v>990</v>
      </c>
      <c r="BK535" s="66" t="s">
        <v>120</v>
      </c>
      <c r="BL535" s="238" t="s">
        <v>202</v>
      </c>
      <c r="BM535" s="226" t="s">
        <v>1026</v>
      </c>
    </row>
    <row r="536" spans="1:65" s="252" customFormat="1" x14ac:dyDescent="0.25">
      <c r="A536" s="407"/>
      <c r="B536" s="408"/>
      <c r="C536" s="232" t="s">
        <v>166</v>
      </c>
      <c r="D536" s="243" t="s">
        <v>28</v>
      </c>
      <c r="E536" s="20">
        <f t="shared" si="161"/>
        <v>0.06</v>
      </c>
      <c r="F536" s="21"/>
      <c r="G536" s="28">
        <f t="shared" si="159"/>
        <v>0.06</v>
      </c>
      <c r="H536" s="222"/>
      <c r="I536" s="222"/>
      <c r="J536" s="222"/>
      <c r="K536" s="222">
        <v>0.03</v>
      </c>
      <c r="L536" s="222"/>
      <c r="M536" s="222"/>
      <c r="N536" s="222"/>
      <c r="O536" s="222"/>
      <c r="P536" s="222"/>
      <c r="Q536" s="222"/>
      <c r="R536" s="222"/>
      <c r="S536" s="222"/>
      <c r="T536" s="222"/>
      <c r="U536" s="222">
        <f t="shared" si="160"/>
        <v>0</v>
      </c>
      <c r="V536" s="222"/>
      <c r="W536" s="222"/>
      <c r="X536" s="222"/>
      <c r="Y536" s="222">
        <v>0.03</v>
      </c>
      <c r="Z536" s="222"/>
      <c r="AA536" s="222"/>
      <c r="AB536" s="222"/>
      <c r="AC536" s="222"/>
      <c r="AD536" s="222"/>
      <c r="AE536" s="222"/>
      <c r="AF536" s="222"/>
      <c r="AG536" s="222"/>
      <c r="AH536" s="222"/>
      <c r="AI536" s="222"/>
      <c r="AJ536" s="222"/>
      <c r="AK536" s="222"/>
      <c r="AL536" s="222"/>
      <c r="AM536" s="222"/>
      <c r="AN536" s="222"/>
      <c r="AO536" s="222"/>
      <c r="AP536" s="222"/>
      <c r="AQ536" s="222"/>
      <c r="AR536" s="222"/>
      <c r="AS536" s="222"/>
      <c r="AT536" s="222"/>
      <c r="AU536" s="222"/>
      <c r="AV536" s="222"/>
      <c r="AW536" s="222"/>
      <c r="AX536" s="222"/>
      <c r="AY536" s="222"/>
      <c r="AZ536" s="222"/>
      <c r="BA536" s="222"/>
      <c r="BB536" s="222"/>
      <c r="BC536" s="222"/>
      <c r="BD536" s="222"/>
      <c r="BE536" s="222"/>
      <c r="BF536" s="222"/>
      <c r="BG536" s="222"/>
      <c r="BH536" s="232" t="s">
        <v>167</v>
      </c>
      <c r="BI536" s="232" t="s">
        <v>166</v>
      </c>
      <c r="BJ536" s="232" t="s">
        <v>991</v>
      </c>
      <c r="BK536" s="66" t="s">
        <v>68</v>
      </c>
      <c r="BL536" s="238" t="s">
        <v>202</v>
      </c>
      <c r="BM536" s="226" t="s">
        <v>206</v>
      </c>
    </row>
    <row r="537" spans="1:65" s="252" customFormat="1" ht="31.5" x14ac:dyDescent="0.25">
      <c r="A537" s="407"/>
      <c r="B537" s="408"/>
      <c r="C537" s="232" t="s">
        <v>79</v>
      </c>
      <c r="D537" s="243" t="s">
        <v>28</v>
      </c>
      <c r="E537" s="20">
        <f t="shared" si="161"/>
        <v>10</v>
      </c>
      <c r="F537" s="21"/>
      <c r="G537" s="28">
        <f t="shared" si="159"/>
        <v>10</v>
      </c>
      <c r="H537" s="222"/>
      <c r="I537" s="222"/>
      <c r="J537" s="222"/>
      <c r="K537" s="222"/>
      <c r="L537" s="222"/>
      <c r="M537" s="222"/>
      <c r="N537" s="222"/>
      <c r="O537" s="222"/>
      <c r="P537" s="222"/>
      <c r="Q537" s="222"/>
      <c r="R537" s="222"/>
      <c r="S537" s="222"/>
      <c r="T537" s="222"/>
      <c r="U537" s="222">
        <f t="shared" si="160"/>
        <v>10</v>
      </c>
      <c r="V537" s="222">
        <v>10</v>
      </c>
      <c r="W537" s="222"/>
      <c r="X537" s="222"/>
      <c r="Y537" s="222"/>
      <c r="Z537" s="222"/>
      <c r="AA537" s="222"/>
      <c r="AB537" s="222"/>
      <c r="AC537" s="222"/>
      <c r="AD537" s="222"/>
      <c r="AE537" s="222"/>
      <c r="AF537" s="222"/>
      <c r="AG537" s="222"/>
      <c r="AH537" s="222"/>
      <c r="AI537" s="222"/>
      <c r="AJ537" s="222"/>
      <c r="AK537" s="222"/>
      <c r="AL537" s="222"/>
      <c r="AM537" s="222"/>
      <c r="AN537" s="222"/>
      <c r="AO537" s="222"/>
      <c r="AP537" s="222"/>
      <c r="AQ537" s="222"/>
      <c r="AR537" s="222"/>
      <c r="AS537" s="222"/>
      <c r="AT537" s="222"/>
      <c r="AU537" s="222"/>
      <c r="AV537" s="222"/>
      <c r="AW537" s="222"/>
      <c r="AX537" s="222"/>
      <c r="AY537" s="222"/>
      <c r="AZ537" s="222"/>
      <c r="BA537" s="222"/>
      <c r="BB537" s="222"/>
      <c r="BC537" s="222"/>
      <c r="BD537" s="222"/>
      <c r="BE537" s="222"/>
      <c r="BF537" s="222"/>
      <c r="BG537" s="222"/>
      <c r="BH537" s="232" t="s">
        <v>270</v>
      </c>
      <c r="BI537" s="232" t="s">
        <v>79</v>
      </c>
      <c r="BJ537" s="232" t="s">
        <v>992</v>
      </c>
      <c r="BK537" s="66" t="s">
        <v>398</v>
      </c>
      <c r="BL537" s="238" t="s">
        <v>202</v>
      </c>
      <c r="BM537" s="226" t="s">
        <v>206</v>
      </c>
    </row>
    <row r="538" spans="1:65" s="252" customFormat="1" x14ac:dyDescent="0.25">
      <c r="A538" s="56" t="s">
        <v>993</v>
      </c>
      <c r="B538" s="43" t="s">
        <v>994</v>
      </c>
      <c r="C538" s="58"/>
      <c r="D538" s="44"/>
      <c r="E538" s="169">
        <f>SUM(E539:E540)</f>
        <v>1389.2700000000002</v>
      </c>
      <c r="F538" s="169">
        <f>SUM(F539:F540)</f>
        <v>300</v>
      </c>
      <c r="G538" s="169">
        <f>SUM(G539:G540)</f>
        <v>1089.2700000000002</v>
      </c>
      <c r="H538" s="169">
        <f>SUM(H539:H540)</f>
        <v>0</v>
      </c>
      <c r="I538" s="169">
        <f t="shared" ref="I538:BG538" si="162">SUM(I539:I540)</f>
        <v>0</v>
      </c>
      <c r="J538" s="169">
        <f t="shared" si="162"/>
        <v>0</v>
      </c>
      <c r="K538" s="169">
        <f t="shared" si="162"/>
        <v>0</v>
      </c>
      <c r="L538" s="169">
        <f t="shared" si="162"/>
        <v>0</v>
      </c>
      <c r="M538" s="169" t="s">
        <v>995</v>
      </c>
      <c r="N538" s="169">
        <f t="shared" si="162"/>
        <v>0</v>
      </c>
      <c r="O538" s="169">
        <f t="shared" si="162"/>
        <v>0</v>
      </c>
      <c r="P538" s="169">
        <f t="shared" si="162"/>
        <v>0</v>
      </c>
      <c r="Q538" s="169">
        <f t="shared" si="162"/>
        <v>0</v>
      </c>
      <c r="R538" s="169">
        <f t="shared" si="162"/>
        <v>0</v>
      </c>
      <c r="S538" s="169">
        <f t="shared" si="162"/>
        <v>0</v>
      </c>
      <c r="T538" s="169">
        <f t="shared" si="162"/>
        <v>0</v>
      </c>
      <c r="U538" s="169">
        <f t="shared" si="162"/>
        <v>1089.2700000000002</v>
      </c>
      <c r="V538" s="169">
        <f t="shared" si="162"/>
        <v>0</v>
      </c>
      <c r="W538" s="169">
        <f t="shared" si="162"/>
        <v>1089.2700000000002</v>
      </c>
      <c r="X538" s="169">
        <f t="shared" si="162"/>
        <v>0</v>
      </c>
      <c r="Y538" s="169">
        <f t="shared" si="162"/>
        <v>0</v>
      </c>
      <c r="Z538" s="169">
        <f t="shared" si="162"/>
        <v>0</v>
      </c>
      <c r="AA538" s="169">
        <f t="shared" si="162"/>
        <v>0</v>
      </c>
      <c r="AB538" s="169">
        <f t="shared" si="162"/>
        <v>0</v>
      </c>
      <c r="AC538" s="169">
        <f t="shared" si="162"/>
        <v>0</v>
      </c>
      <c r="AD538" s="169">
        <f t="shared" si="162"/>
        <v>0</v>
      </c>
      <c r="AE538" s="169">
        <f t="shared" si="162"/>
        <v>0</v>
      </c>
      <c r="AF538" s="169">
        <f t="shared" si="162"/>
        <v>0</v>
      </c>
      <c r="AG538" s="169">
        <f t="shared" si="162"/>
        <v>0</v>
      </c>
      <c r="AH538" s="169">
        <f t="shared" si="162"/>
        <v>0</v>
      </c>
      <c r="AI538" s="169">
        <f t="shared" si="162"/>
        <v>0</v>
      </c>
      <c r="AJ538" s="169">
        <f t="shared" si="162"/>
        <v>0</v>
      </c>
      <c r="AK538" s="169">
        <f t="shared" si="162"/>
        <v>0</v>
      </c>
      <c r="AL538" s="169">
        <f t="shared" si="162"/>
        <v>0</v>
      </c>
      <c r="AM538" s="169">
        <f t="shared" si="162"/>
        <v>0</v>
      </c>
      <c r="AN538" s="169">
        <f t="shared" si="162"/>
        <v>0</v>
      </c>
      <c r="AO538" s="169">
        <f t="shared" si="162"/>
        <v>0</v>
      </c>
      <c r="AP538" s="169">
        <f t="shared" si="162"/>
        <v>0</v>
      </c>
      <c r="AQ538" s="169">
        <f t="shared" si="162"/>
        <v>0</v>
      </c>
      <c r="AR538" s="169">
        <f t="shared" si="162"/>
        <v>0</v>
      </c>
      <c r="AS538" s="169">
        <f t="shared" si="162"/>
        <v>0</v>
      </c>
      <c r="AT538" s="169">
        <f t="shared" si="162"/>
        <v>0</v>
      </c>
      <c r="AU538" s="169">
        <f t="shared" si="162"/>
        <v>0</v>
      </c>
      <c r="AV538" s="169">
        <f t="shared" si="162"/>
        <v>0</v>
      </c>
      <c r="AW538" s="169">
        <f t="shared" si="162"/>
        <v>0</v>
      </c>
      <c r="AX538" s="169">
        <f t="shared" si="162"/>
        <v>0</v>
      </c>
      <c r="AY538" s="169">
        <f t="shared" si="162"/>
        <v>0</v>
      </c>
      <c r="AZ538" s="169">
        <f t="shared" si="162"/>
        <v>0</v>
      </c>
      <c r="BA538" s="169">
        <f t="shared" si="162"/>
        <v>0</v>
      </c>
      <c r="BB538" s="169">
        <f t="shared" si="162"/>
        <v>0</v>
      </c>
      <c r="BC538" s="169">
        <f t="shared" si="162"/>
        <v>0</v>
      </c>
      <c r="BD538" s="169">
        <f t="shared" si="162"/>
        <v>0</v>
      </c>
      <c r="BE538" s="169">
        <f t="shared" si="162"/>
        <v>0</v>
      </c>
      <c r="BF538" s="169">
        <f t="shared" si="162"/>
        <v>0</v>
      </c>
      <c r="BG538" s="169">
        <f t="shared" si="162"/>
        <v>0</v>
      </c>
      <c r="BH538" s="149"/>
      <c r="BI538" s="58"/>
      <c r="BJ538" s="58"/>
      <c r="BK538" s="228"/>
      <c r="BL538" s="229"/>
      <c r="BM538" s="229"/>
    </row>
    <row r="539" spans="1:65" s="252" customFormat="1" ht="47.25" x14ac:dyDescent="0.25">
      <c r="A539" s="249">
        <f>A524+1</f>
        <v>291</v>
      </c>
      <c r="B539" s="237" t="s">
        <v>996</v>
      </c>
      <c r="C539" s="226" t="s">
        <v>394</v>
      </c>
      <c r="D539" s="243" t="s">
        <v>24</v>
      </c>
      <c r="E539" s="20">
        <f>F539+G539</f>
        <v>1089.2700000000002</v>
      </c>
      <c r="F539" s="20"/>
      <c r="G539" s="28">
        <f>SUM(H539:M539,Q539,U539,Y539:BG539)</f>
        <v>1089.2700000000002</v>
      </c>
      <c r="H539" s="49"/>
      <c r="I539" s="49"/>
      <c r="J539" s="49"/>
      <c r="K539" s="49"/>
      <c r="L539" s="49"/>
      <c r="M539" s="49"/>
      <c r="N539" s="49"/>
      <c r="O539" s="49"/>
      <c r="P539" s="49"/>
      <c r="Q539" s="49"/>
      <c r="R539" s="49"/>
      <c r="S539" s="49"/>
      <c r="T539" s="49"/>
      <c r="U539" s="222">
        <f>SUM(V539:X539)</f>
        <v>1089.2700000000002</v>
      </c>
      <c r="V539" s="49"/>
      <c r="W539" s="49">
        <v>1089.2700000000002</v>
      </c>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232"/>
      <c r="BI539" s="226" t="s">
        <v>394</v>
      </c>
      <c r="BJ539" s="226"/>
      <c r="BK539" s="66" t="s">
        <v>997</v>
      </c>
      <c r="BL539" s="238" t="s">
        <v>202</v>
      </c>
      <c r="BM539" s="226" t="s">
        <v>206</v>
      </c>
    </row>
    <row r="540" spans="1:65" s="254" customFormat="1" ht="47.25" x14ac:dyDescent="0.25">
      <c r="A540" s="225">
        <f>A539+1</f>
        <v>292</v>
      </c>
      <c r="B540" s="170" t="s">
        <v>998</v>
      </c>
      <c r="C540" s="90" t="s">
        <v>394</v>
      </c>
      <c r="D540" s="218" t="s">
        <v>23</v>
      </c>
      <c r="E540" s="20">
        <f>F540+G540</f>
        <v>300</v>
      </c>
      <c r="F540" s="20">
        <v>300</v>
      </c>
      <c r="G540" s="20"/>
      <c r="H540" s="62"/>
      <c r="I540" s="62"/>
      <c r="J540" s="62"/>
      <c r="K540" s="62"/>
      <c r="L540" s="62"/>
      <c r="M540" s="62"/>
      <c r="N540" s="62"/>
      <c r="O540" s="62"/>
      <c r="P540" s="62"/>
      <c r="Q540" s="62"/>
      <c r="R540" s="62"/>
      <c r="S540" s="62"/>
      <c r="T540" s="62"/>
      <c r="U540" s="49"/>
      <c r="V540" s="49"/>
      <c r="W540" s="49"/>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c r="AW540" s="62"/>
      <c r="AX540" s="62"/>
      <c r="AY540" s="62"/>
      <c r="AZ540" s="62"/>
      <c r="BA540" s="62"/>
      <c r="BB540" s="62"/>
      <c r="BC540" s="62"/>
      <c r="BD540" s="62"/>
      <c r="BE540" s="62"/>
      <c r="BF540" s="62"/>
      <c r="BG540" s="62"/>
      <c r="BH540" s="235"/>
      <c r="BI540" s="90" t="s">
        <v>394</v>
      </c>
      <c r="BJ540" s="90"/>
      <c r="BK540" s="239" t="s">
        <v>120</v>
      </c>
      <c r="BL540" s="238" t="s">
        <v>202</v>
      </c>
      <c r="BM540" s="218" t="s">
        <v>1026</v>
      </c>
    </row>
    <row r="541" spans="1:65" s="254" customFormat="1" ht="31.5" x14ac:dyDescent="0.25">
      <c r="A541" s="171" t="s">
        <v>1073</v>
      </c>
      <c r="B541" s="172" t="s">
        <v>1074</v>
      </c>
      <c r="C541" s="58"/>
      <c r="D541" s="44"/>
      <c r="E541" s="47">
        <f>E542</f>
        <v>1</v>
      </c>
      <c r="F541" s="47">
        <f>F542</f>
        <v>1</v>
      </c>
      <c r="G541" s="47">
        <f>G542</f>
        <v>0</v>
      </c>
      <c r="H541" s="47">
        <f>H542</f>
        <v>0</v>
      </c>
      <c r="I541" s="47">
        <f t="shared" ref="I541:BG541" si="163">I542</f>
        <v>0</v>
      </c>
      <c r="J541" s="47">
        <f t="shared" si="163"/>
        <v>0</v>
      </c>
      <c r="K541" s="47">
        <f t="shared" si="163"/>
        <v>0</v>
      </c>
      <c r="L541" s="47">
        <f t="shared" si="163"/>
        <v>0</v>
      </c>
      <c r="M541" s="47">
        <f t="shared" si="163"/>
        <v>0</v>
      </c>
      <c r="N541" s="47">
        <f t="shared" si="163"/>
        <v>0</v>
      </c>
      <c r="O541" s="47">
        <f t="shared" si="163"/>
        <v>0</v>
      </c>
      <c r="P541" s="47">
        <f t="shared" si="163"/>
        <v>0</v>
      </c>
      <c r="Q541" s="47">
        <f t="shared" si="163"/>
        <v>0</v>
      </c>
      <c r="R541" s="47">
        <f t="shared" si="163"/>
        <v>0</v>
      </c>
      <c r="S541" s="47">
        <f t="shared" si="163"/>
        <v>0</v>
      </c>
      <c r="T541" s="47">
        <f t="shared" si="163"/>
        <v>0</v>
      </c>
      <c r="U541" s="47">
        <f t="shared" si="163"/>
        <v>0</v>
      </c>
      <c r="V541" s="47">
        <f t="shared" si="163"/>
        <v>0</v>
      </c>
      <c r="W541" s="47">
        <f t="shared" si="163"/>
        <v>0</v>
      </c>
      <c r="X541" s="47">
        <f t="shared" si="163"/>
        <v>0</v>
      </c>
      <c r="Y541" s="47">
        <f t="shared" si="163"/>
        <v>0</v>
      </c>
      <c r="Z541" s="47">
        <f t="shared" si="163"/>
        <v>0</v>
      </c>
      <c r="AA541" s="47">
        <f t="shared" si="163"/>
        <v>0</v>
      </c>
      <c r="AB541" s="47">
        <f t="shared" si="163"/>
        <v>0</v>
      </c>
      <c r="AC541" s="47">
        <f t="shared" si="163"/>
        <v>0</v>
      </c>
      <c r="AD541" s="47">
        <f t="shared" si="163"/>
        <v>0</v>
      </c>
      <c r="AE541" s="47">
        <f t="shared" si="163"/>
        <v>0</v>
      </c>
      <c r="AF541" s="47">
        <f t="shared" si="163"/>
        <v>0</v>
      </c>
      <c r="AG541" s="47">
        <f t="shared" si="163"/>
        <v>0</v>
      </c>
      <c r="AH541" s="47">
        <f t="shared" si="163"/>
        <v>0</v>
      </c>
      <c r="AI541" s="47">
        <f t="shared" si="163"/>
        <v>0</v>
      </c>
      <c r="AJ541" s="47">
        <f t="shared" si="163"/>
        <v>0</v>
      </c>
      <c r="AK541" s="47">
        <f t="shared" si="163"/>
        <v>0</v>
      </c>
      <c r="AL541" s="47">
        <f t="shared" si="163"/>
        <v>0</v>
      </c>
      <c r="AM541" s="47">
        <f t="shared" si="163"/>
        <v>0</v>
      </c>
      <c r="AN541" s="47">
        <f t="shared" si="163"/>
        <v>0</v>
      </c>
      <c r="AO541" s="47">
        <f t="shared" si="163"/>
        <v>0</v>
      </c>
      <c r="AP541" s="47">
        <f t="shared" si="163"/>
        <v>0</v>
      </c>
      <c r="AQ541" s="47">
        <f t="shared" si="163"/>
        <v>0</v>
      </c>
      <c r="AR541" s="47">
        <f t="shared" si="163"/>
        <v>0</v>
      </c>
      <c r="AS541" s="47">
        <f t="shared" si="163"/>
        <v>0</v>
      </c>
      <c r="AT541" s="47">
        <f t="shared" si="163"/>
        <v>0</v>
      </c>
      <c r="AU541" s="47">
        <f t="shared" si="163"/>
        <v>0</v>
      </c>
      <c r="AV541" s="47">
        <f t="shared" si="163"/>
        <v>0</v>
      </c>
      <c r="AW541" s="47">
        <f t="shared" si="163"/>
        <v>0</v>
      </c>
      <c r="AX541" s="47">
        <f t="shared" si="163"/>
        <v>0</v>
      </c>
      <c r="AY541" s="47">
        <f t="shared" si="163"/>
        <v>0</v>
      </c>
      <c r="AZ541" s="47">
        <f t="shared" si="163"/>
        <v>0</v>
      </c>
      <c r="BA541" s="47">
        <f t="shared" si="163"/>
        <v>0</v>
      </c>
      <c r="BB541" s="47">
        <f t="shared" si="163"/>
        <v>0</v>
      </c>
      <c r="BC541" s="47">
        <f t="shared" si="163"/>
        <v>0</v>
      </c>
      <c r="BD541" s="47">
        <f t="shared" si="163"/>
        <v>0</v>
      </c>
      <c r="BE541" s="47">
        <f t="shared" si="163"/>
        <v>0</v>
      </c>
      <c r="BF541" s="47">
        <f t="shared" si="163"/>
        <v>0</v>
      </c>
      <c r="BG541" s="47">
        <f t="shared" si="163"/>
        <v>0</v>
      </c>
      <c r="BH541" s="231"/>
      <c r="BI541" s="58"/>
      <c r="BJ541" s="58"/>
      <c r="BK541" s="228"/>
      <c r="BL541" s="156"/>
      <c r="BM541" s="155"/>
    </row>
    <row r="542" spans="1:65" s="252" customFormat="1" ht="68.25" customHeight="1" x14ac:dyDescent="0.25">
      <c r="A542" s="215">
        <f>A540+1</f>
        <v>293</v>
      </c>
      <c r="B542" s="217" t="s">
        <v>1075</v>
      </c>
      <c r="C542" s="90" t="s">
        <v>394</v>
      </c>
      <c r="D542" s="243"/>
      <c r="E542" s="20">
        <v>1</v>
      </c>
      <c r="F542" s="20">
        <v>1</v>
      </c>
      <c r="G542" s="30"/>
      <c r="H542" s="238"/>
      <c r="I542" s="238"/>
      <c r="J542" s="238"/>
      <c r="K542" s="238"/>
      <c r="L542" s="238"/>
      <c r="M542" s="238"/>
      <c r="N542" s="238"/>
      <c r="O542" s="238"/>
      <c r="P542" s="238"/>
      <c r="Q542" s="238"/>
      <c r="R542" s="238"/>
      <c r="S542" s="238"/>
      <c r="T542" s="238"/>
      <c r="U542" s="238"/>
      <c r="V542" s="238"/>
      <c r="W542" s="238"/>
      <c r="X542" s="238"/>
      <c r="Y542" s="238"/>
      <c r="Z542" s="238"/>
      <c r="AA542" s="238"/>
      <c r="AB542" s="238"/>
      <c r="AC542" s="238"/>
      <c r="AD542" s="238"/>
      <c r="AE542" s="238"/>
      <c r="AF542" s="238"/>
      <c r="AG542" s="238"/>
      <c r="AH542" s="238"/>
      <c r="AI542" s="238"/>
      <c r="AJ542" s="238"/>
      <c r="AK542" s="238"/>
      <c r="AL542" s="238"/>
      <c r="AM542" s="238"/>
      <c r="AN542" s="238"/>
      <c r="AO542" s="238"/>
      <c r="AP542" s="238"/>
      <c r="AQ542" s="238"/>
      <c r="AR542" s="238"/>
      <c r="AS542" s="238"/>
      <c r="AT542" s="238"/>
      <c r="AU542" s="238"/>
      <c r="AV542" s="238"/>
      <c r="AW542" s="238"/>
      <c r="AX542" s="238"/>
      <c r="AY542" s="238"/>
      <c r="AZ542" s="238"/>
      <c r="BA542" s="238"/>
      <c r="BB542" s="238"/>
      <c r="BC542" s="238"/>
      <c r="BD542" s="238"/>
      <c r="BE542" s="238"/>
      <c r="BF542" s="238"/>
      <c r="BG542" s="238"/>
      <c r="BH542" s="235" t="s">
        <v>269</v>
      </c>
      <c r="BI542" s="90" t="s">
        <v>394</v>
      </c>
      <c r="BJ542" s="226"/>
      <c r="BK542" s="241" t="s">
        <v>1076</v>
      </c>
      <c r="BL542" s="246" t="s">
        <v>862</v>
      </c>
      <c r="BM542" s="242" t="s">
        <v>206</v>
      </c>
    </row>
    <row r="548" spans="1:65" s="15" customFormat="1" x14ac:dyDescent="0.25">
      <c r="A548" s="8"/>
      <c r="B548" s="10"/>
      <c r="C548" s="8"/>
      <c r="D548" s="7"/>
      <c r="E548" s="11"/>
      <c r="F548" s="11"/>
      <c r="G548" s="11"/>
      <c r="H548" s="9"/>
      <c r="I548" s="9"/>
      <c r="J548" s="9"/>
      <c r="K548" s="9"/>
      <c r="L548" s="9"/>
      <c r="M548" s="9"/>
      <c r="N548" s="9"/>
      <c r="O548" s="9"/>
      <c r="P548" s="9"/>
      <c r="Q548" s="9"/>
      <c r="R548" s="9"/>
      <c r="S548" s="9"/>
      <c r="T548" s="9"/>
      <c r="U548" s="173"/>
      <c r="V548" s="12"/>
      <c r="W548" s="12"/>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13"/>
      <c r="BI548" s="8"/>
      <c r="BJ548" s="14"/>
      <c r="BL548" s="16"/>
      <c r="BM548" s="7"/>
    </row>
  </sheetData>
  <mergeCells count="242">
    <mergeCell ref="B524:B527"/>
    <mergeCell ref="A517:A521"/>
    <mergeCell ref="B517:B521"/>
    <mergeCell ref="A63:A66"/>
    <mergeCell ref="B63:B66"/>
    <mergeCell ref="A445:A448"/>
    <mergeCell ref="B445:B448"/>
    <mergeCell ref="BL28:BL37"/>
    <mergeCell ref="BL42:BL47"/>
    <mergeCell ref="C441:C443"/>
    <mergeCell ref="BK42:BK47"/>
    <mergeCell ref="A48:A52"/>
    <mergeCell ref="A42:A47"/>
    <mergeCell ref="A310:A314"/>
    <mergeCell ref="B310:B314"/>
    <mergeCell ref="BL267:BL268"/>
    <mergeCell ref="BL269:BL283"/>
    <mergeCell ref="BL287:BL289"/>
    <mergeCell ref="A291:A295"/>
    <mergeCell ref="B291:B295"/>
    <mergeCell ref="A182:A187"/>
    <mergeCell ref="B182:B187"/>
    <mergeCell ref="BL264:BL265"/>
    <mergeCell ref="BL284:BL285"/>
    <mergeCell ref="BM20:BM22"/>
    <mergeCell ref="BI5:BI6"/>
    <mergeCell ref="BJ5:BJ6"/>
    <mergeCell ref="BM53:BM57"/>
    <mergeCell ref="BM42:BM47"/>
    <mergeCell ref="B44:B45"/>
    <mergeCell ref="BK5:BK6"/>
    <mergeCell ref="BL5:BL6"/>
    <mergeCell ref="BM5:BM6"/>
    <mergeCell ref="BL8:BL11"/>
    <mergeCell ref="BL13:BL14"/>
    <mergeCell ref="BL16:BL18"/>
    <mergeCell ref="BL20:BL27"/>
    <mergeCell ref="BL39:BL40"/>
    <mergeCell ref="BI42:BI47"/>
    <mergeCell ref="BJ42:BJ47"/>
    <mergeCell ref="BI48:BI52"/>
    <mergeCell ref="BJ48:BJ52"/>
    <mergeCell ref="BK48:BK52"/>
    <mergeCell ref="BL48:BL52"/>
    <mergeCell ref="BM48:BM52"/>
    <mergeCell ref="C42:C47"/>
    <mergeCell ref="C48:C52"/>
    <mergeCell ref="C53:C57"/>
    <mergeCell ref="A1:B1"/>
    <mergeCell ref="A2:BM2"/>
    <mergeCell ref="A3:BM3"/>
    <mergeCell ref="A5:A6"/>
    <mergeCell ref="B5:B6"/>
    <mergeCell ref="D5:D6"/>
    <mergeCell ref="H5:BG5"/>
    <mergeCell ref="BH5:BH6"/>
    <mergeCell ref="E5:E6"/>
    <mergeCell ref="F5:F6"/>
    <mergeCell ref="G5:G6"/>
    <mergeCell ref="C5:C6"/>
    <mergeCell ref="BM126:BM129"/>
    <mergeCell ref="A68:A73"/>
    <mergeCell ref="BH68:BH73"/>
    <mergeCell ref="BI68:BI73"/>
    <mergeCell ref="BJ68:BJ73"/>
    <mergeCell ref="BK68:BK73"/>
    <mergeCell ref="BL68:BL73"/>
    <mergeCell ref="BM68:BM73"/>
    <mergeCell ref="A126:A129"/>
    <mergeCell ref="BH126:BH129"/>
    <mergeCell ref="BI126:BI129"/>
    <mergeCell ref="BJ126:BJ129"/>
    <mergeCell ref="BK126:BK129"/>
    <mergeCell ref="BL126:BL129"/>
    <mergeCell ref="C68:C73"/>
    <mergeCell ref="C126:C129"/>
    <mergeCell ref="A82:A95"/>
    <mergeCell ref="B82:B95"/>
    <mergeCell ref="B107:B117"/>
    <mergeCell ref="A107:A117"/>
    <mergeCell ref="BM377:BM380"/>
    <mergeCell ref="A372:A376"/>
    <mergeCell ref="BH372:BH376"/>
    <mergeCell ref="BI372:BI376"/>
    <mergeCell ref="BJ372:BJ376"/>
    <mergeCell ref="BK372:BK376"/>
    <mergeCell ref="BL372:BL376"/>
    <mergeCell ref="BM372:BM376"/>
    <mergeCell ref="A377:A380"/>
    <mergeCell ref="C372:C376"/>
    <mergeCell ref="C377:C380"/>
    <mergeCell ref="BK377:BK380"/>
    <mergeCell ref="BM382:BM385"/>
    <mergeCell ref="A386:A389"/>
    <mergeCell ref="BH386:BH389"/>
    <mergeCell ref="BI386:BI389"/>
    <mergeCell ref="BJ386:BJ389"/>
    <mergeCell ref="BK386:BK389"/>
    <mergeCell ref="BL386:BL389"/>
    <mergeCell ref="BM386:BM389"/>
    <mergeCell ref="A382:A385"/>
    <mergeCell ref="BH382:BH385"/>
    <mergeCell ref="BI382:BI385"/>
    <mergeCell ref="BJ382:BJ385"/>
    <mergeCell ref="BK382:BK385"/>
    <mergeCell ref="BL382:BL385"/>
    <mergeCell ref="C382:C385"/>
    <mergeCell ref="C386:C389"/>
    <mergeCell ref="BM390:BM393"/>
    <mergeCell ref="A394:A398"/>
    <mergeCell ref="BH394:BH398"/>
    <mergeCell ref="BI394:BI398"/>
    <mergeCell ref="BJ394:BJ398"/>
    <mergeCell ref="BK394:BK398"/>
    <mergeCell ref="BL394:BL398"/>
    <mergeCell ref="BM394:BM398"/>
    <mergeCell ref="A390:A393"/>
    <mergeCell ref="BH390:BH393"/>
    <mergeCell ref="BI390:BI393"/>
    <mergeCell ref="BJ390:BJ393"/>
    <mergeCell ref="BK390:BK393"/>
    <mergeCell ref="BL390:BL393"/>
    <mergeCell ref="C390:C393"/>
    <mergeCell ref="C394:C398"/>
    <mergeCell ref="BM410:BM412"/>
    <mergeCell ref="BM399:BM406"/>
    <mergeCell ref="A407:A409"/>
    <mergeCell ref="BH407:BH409"/>
    <mergeCell ref="BI407:BI409"/>
    <mergeCell ref="BJ407:BJ409"/>
    <mergeCell ref="BK407:BK409"/>
    <mergeCell ref="BL407:BL409"/>
    <mergeCell ref="BM407:BM409"/>
    <mergeCell ref="A399:A406"/>
    <mergeCell ref="BH399:BH406"/>
    <mergeCell ref="BI399:BI406"/>
    <mergeCell ref="BJ399:BJ406"/>
    <mergeCell ref="BK399:BK406"/>
    <mergeCell ref="BL399:BL406"/>
    <mergeCell ref="C399:C406"/>
    <mergeCell ref="C407:C409"/>
    <mergeCell ref="C410:C412"/>
    <mergeCell ref="BM417:BM420"/>
    <mergeCell ref="A413:A416"/>
    <mergeCell ref="BH413:BH416"/>
    <mergeCell ref="BI413:BI416"/>
    <mergeCell ref="BJ413:BJ416"/>
    <mergeCell ref="BK413:BK416"/>
    <mergeCell ref="BL413:BL416"/>
    <mergeCell ref="BM413:BM416"/>
    <mergeCell ref="A417:A420"/>
    <mergeCell ref="C413:C416"/>
    <mergeCell ref="C417:C420"/>
    <mergeCell ref="BM421:BM424"/>
    <mergeCell ref="A425:A427"/>
    <mergeCell ref="BH425:BH427"/>
    <mergeCell ref="BI425:BI427"/>
    <mergeCell ref="BJ425:BJ427"/>
    <mergeCell ref="BK425:BK427"/>
    <mergeCell ref="BL425:BL427"/>
    <mergeCell ref="BM425:BM427"/>
    <mergeCell ref="A421:A424"/>
    <mergeCell ref="BH421:BH424"/>
    <mergeCell ref="BI421:BI424"/>
    <mergeCell ref="BJ421:BJ424"/>
    <mergeCell ref="BK421:BK424"/>
    <mergeCell ref="BL421:BL424"/>
    <mergeCell ref="C421:C424"/>
    <mergeCell ref="C425:C427"/>
    <mergeCell ref="BM428:BM430"/>
    <mergeCell ref="A431:A433"/>
    <mergeCell ref="A428:A430"/>
    <mergeCell ref="BH428:BH430"/>
    <mergeCell ref="BI428:BI430"/>
    <mergeCell ref="BJ428:BJ430"/>
    <mergeCell ref="BK428:BK430"/>
    <mergeCell ref="BL428:BL430"/>
    <mergeCell ref="BH431:BH433"/>
    <mergeCell ref="BI431:BI433"/>
    <mergeCell ref="BJ431:BJ433"/>
    <mergeCell ref="BK431:BK433"/>
    <mergeCell ref="BL431:BL433"/>
    <mergeCell ref="BM431:BM433"/>
    <mergeCell ref="C428:C430"/>
    <mergeCell ref="C431:C433"/>
    <mergeCell ref="BM437:BM439"/>
    <mergeCell ref="A434:A436"/>
    <mergeCell ref="BH434:BH436"/>
    <mergeCell ref="BI434:BI436"/>
    <mergeCell ref="BJ434:BJ436"/>
    <mergeCell ref="BK434:BK436"/>
    <mergeCell ref="BL434:BL436"/>
    <mergeCell ref="C434:C436"/>
    <mergeCell ref="C437:C439"/>
    <mergeCell ref="BM441:BM443"/>
    <mergeCell ref="A441:A443"/>
    <mergeCell ref="A504:A507"/>
    <mergeCell ref="B504:B507"/>
    <mergeCell ref="A362:A365"/>
    <mergeCell ref="B362:B365"/>
    <mergeCell ref="A366:A369"/>
    <mergeCell ref="B366:B369"/>
    <mergeCell ref="BH441:BH443"/>
    <mergeCell ref="BI441:BI443"/>
    <mergeCell ref="BK441:BK443"/>
    <mergeCell ref="BH417:BH420"/>
    <mergeCell ref="BI417:BI420"/>
    <mergeCell ref="BJ417:BJ420"/>
    <mergeCell ref="BK417:BK420"/>
    <mergeCell ref="A410:A412"/>
    <mergeCell ref="BH410:BH412"/>
    <mergeCell ref="BI410:BI412"/>
    <mergeCell ref="BJ410:BJ412"/>
    <mergeCell ref="BK410:BK412"/>
    <mergeCell ref="BH377:BH380"/>
    <mergeCell ref="BI377:BI380"/>
    <mergeCell ref="BJ377:BJ380"/>
    <mergeCell ref="BM434:BM436"/>
    <mergeCell ref="A528:A537"/>
    <mergeCell ref="B528:B537"/>
    <mergeCell ref="A53:A57"/>
    <mergeCell ref="BI53:BI57"/>
    <mergeCell ref="BJ53:BJ57"/>
    <mergeCell ref="BK53:BK57"/>
    <mergeCell ref="BL53:BL57"/>
    <mergeCell ref="BL441:BL443"/>
    <mergeCell ref="A437:A439"/>
    <mergeCell ref="BH437:BH439"/>
    <mergeCell ref="BI437:BI439"/>
    <mergeCell ref="BJ437:BJ439"/>
    <mergeCell ref="BK437:BK439"/>
    <mergeCell ref="BL437:BL439"/>
    <mergeCell ref="BL417:BL420"/>
    <mergeCell ref="BL410:BL412"/>
    <mergeCell ref="BL377:BL380"/>
    <mergeCell ref="A315:A324"/>
    <mergeCell ref="B315:B324"/>
    <mergeCell ref="A452:A467"/>
    <mergeCell ref="B452:B467"/>
    <mergeCell ref="A480:A495"/>
    <mergeCell ref="B480:B495"/>
    <mergeCell ref="A524:A527"/>
  </mergeCells>
  <printOptions horizontalCentered="1"/>
  <pageMargins left="0.31496062992125984" right="0.31496062992125984" top="0.55118110236220474" bottom="0.51181102362204722" header="0" footer="0"/>
  <pageSetup paperSize="9" scale="17" fitToHeight="0" orientation="landscape" r:id="rId1"/>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Danh muc_2912_in_</vt:lpstr>
      <vt:lpstr>'Danh muc_2912_in_'!Print_Area</vt:lpstr>
      <vt:lpstr>'Danh muc_2912_in_'!Print_Titles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Huyen Trang</dc:creator>
  <cp:lastModifiedBy>Administrator</cp:lastModifiedBy>
  <cp:lastPrinted>2023-10-16T07:22:58Z</cp:lastPrinted>
  <dcterms:created xsi:type="dcterms:W3CDTF">2022-12-14T22:36:11Z</dcterms:created>
  <dcterms:modified xsi:type="dcterms:W3CDTF">2024-01-30T10:15:46Z</dcterms:modified>
</cp:coreProperties>
</file>